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EstaPasta_de_trabalho" defaultThemeVersion="124226"/>
  <mc:AlternateContent xmlns:mc="http://schemas.openxmlformats.org/markup-compatibility/2006">
    <mc:Choice Requires="x15">
      <x15ac:absPath xmlns:x15ac="http://schemas.microsoft.com/office/spreadsheetml/2010/11/ac" url="C:\Users\212539536\Box\MN Product Management\Cortecs\S20\"/>
    </mc:Choice>
  </mc:AlternateContent>
  <xr:revisionPtr revIDLastSave="0" documentId="8_{FC5D6540-9B09-462D-B39F-62D6AF1F1F02}" xr6:coauthVersionLast="47" xr6:coauthVersionMax="47" xr10:uidLastSave="{00000000-0000-0000-0000-000000000000}"/>
  <workbookProtection workbookAlgorithmName="SHA-512" workbookHashValue="g2sChHf0RW/9f+BGznx67LNYkAsHGKVU8u8eCSgIz/ew5Ut370XEWT638jszv0uUqPu71f+fX6fHmmO79EjEtw==" workbookSaltValue="Zn0ybK791U8lyrUAecLjAA==" workbookSpinCount="100000" lockStructure="1"/>
  <bookViews>
    <workbookView xWindow="-28920" yWindow="-120" windowWidth="29040" windowHeight="15840" tabRatio="788" xr2:uid="{00000000-000D-0000-FFFF-FFFF00000000}"/>
  </bookViews>
  <sheets>
    <sheet name="Disclaimer" sheetId="7" r:id="rId1"/>
    <sheet name="Cortec" sheetId="6" r:id="rId2"/>
    <sheet name="Configurator" sheetId="5" r:id="rId3"/>
    <sheet name="Master Text" sheetId="4" r:id="rId4"/>
    <sheet name="Accessories" sheetId="8" r:id="rId5"/>
    <sheet name="Database_configurator" sheetId="3" state="hidden" r:id="rId6"/>
    <sheet name="Database_cortec" sheetId="9" state="hidden" r:id="rId7"/>
    <sheet name="Date Drivers" sheetId="2" state="hidden" r:id="rId8"/>
    <sheet name="Language" sheetId="1"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7" i="6" l="1"/>
  <c r="D42" i="4"/>
  <c r="C42" i="4"/>
  <c r="AE105" i="2"/>
  <c r="AE104" i="2"/>
  <c r="AE102" i="2"/>
  <c r="AE101" i="2"/>
  <c r="AE100" i="2"/>
  <c r="AE97" i="2"/>
  <c r="AE95" i="2"/>
  <c r="AE94" i="2"/>
  <c r="AE93" i="2"/>
  <c r="AE92" i="2"/>
  <c r="AE91" i="2"/>
  <c r="AE90" i="2"/>
  <c r="AE89" i="2"/>
  <c r="AE88" i="2"/>
  <c r="AE87" i="2"/>
  <c r="AE86" i="2"/>
  <c r="AE84" i="2"/>
  <c r="AE83" i="2"/>
  <c r="AE82" i="2"/>
  <c r="AE81" i="2"/>
  <c r="AE80" i="2"/>
  <c r="AE79" i="2"/>
  <c r="AE78" i="2"/>
  <c r="AE77" i="2"/>
  <c r="AE76" i="2"/>
  <c r="AE75" i="2"/>
  <c r="AE73" i="2"/>
  <c r="AE72" i="2"/>
  <c r="AE71" i="2"/>
  <c r="AE70" i="2"/>
  <c r="AE69" i="2"/>
  <c r="AE68" i="2"/>
  <c r="AE67" i="2"/>
  <c r="AE66" i="2"/>
  <c r="AE65" i="2"/>
  <c r="AE64" i="2"/>
  <c r="AE62" i="2"/>
  <c r="AE61" i="2"/>
  <c r="AE60" i="2"/>
  <c r="AE59" i="2"/>
  <c r="AE58" i="2"/>
  <c r="AE57" i="2"/>
  <c r="AE56" i="2"/>
  <c r="AE55" i="2"/>
  <c r="AE54" i="2"/>
  <c r="AE53" i="2"/>
  <c r="AE51" i="2"/>
  <c r="AE50" i="2"/>
  <c r="AE49" i="2"/>
  <c r="AE48" i="2"/>
  <c r="AE47" i="2"/>
  <c r="AE46" i="2"/>
  <c r="AE45" i="2"/>
  <c r="AE44" i="2"/>
  <c r="AE43" i="2"/>
  <c r="AE42" i="2"/>
  <c r="AE38" i="2"/>
  <c r="AE37" i="2"/>
  <c r="AE36" i="2"/>
  <c r="AE35" i="2"/>
  <c r="AE34" i="2"/>
  <c r="AE33" i="2"/>
  <c r="AE32" i="2"/>
  <c r="AE31" i="2"/>
  <c r="AE30" i="2"/>
  <c r="AE29" i="2"/>
  <c r="AE28" i="2"/>
  <c r="AE27" i="2"/>
  <c r="AE26" i="2"/>
  <c r="AE24" i="2"/>
  <c r="AE23" i="2"/>
  <c r="AE21" i="2"/>
  <c r="AE20" i="2"/>
  <c r="AE18" i="2"/>
  <c r="AE16" i="2"/>
  <c r="AE15" i="2"/>
  <c r="AE14" i="2"/>
  <c r="AE13" i="2"/>
  <c r="AE11" i="2"/>
  <c r="AE10" i="2"/>
  <c r="AE9" i="2"/>
  <c r="AE7" i="2"/>
  <c r="AE6" i="2"/>
  <c r="AE5" i="2"/>
  <c r="AE4" i="2"/>
  <c r="AE1" i="2"/>
  <c r="E16" i="3"/>
  <c r="E17" i="9"/>
  <c r="E16" i="9"/>
  <c r="E15" i="9"/>
  <c r="E10" i="9"/>
  <c r="E12" i="9"/>
  <c r="E18" i="9"/>
  <c r="E15" i="3"/>
  <c r="E17" i="3"/>
  <c r="E11" i="3"/>
  <c r="E10" i="3"/>
  <c r="E11" i="9"/>
  <c r="D41" i="4" l="1"/>
  <c r="AA1" i="2"/>
  <c r="D40" i="4" l="1"/>
  <c r="W1" i="2"/>
  <c r="D116" i="9"/>
  <c r="C115" i="9"/>
  <c r="D116" i="3"/>
  <c r="C115" i="3"/>
  <c r="C116" i="9" l="1"/>
  <c r="C116" i="3"/>
  <c r="D39" i="4"/>
  <c r="S1" i="2" l="1"/>
  <c r="D38" i="4" l="1"/>
  <c r="O1" i="2" l="1"/>
  <c r="D37" i="4" l="1"/>
  <c r="C111" i="3"/>
  <c r="K1" i="2" l="1"/>
  <c r="D36" i="4" l="1"/>
  <c r="G1" i="2"/>
  <c r="C111" i="9" l="1"/>
  <c r="C112" i="9" s="1"/>
  <c r="C113" i="9" s="1"/>
  <c r="D108" i="9"/>
  <c r="C107" i="9"/>
  <c r="D96" i="9"/>
  <c r="D97" i="9" s="1"/>
  <c r="C95" i="9"/>
  <c r="D84" i="9"/>
  <c r="D85" i="9" s="1"/>
  <c r="D86" i="9" s="1"/>
  <c r="D87" i="9" s="1"/>
  <c r="D88" i="9" s="1"/>
  <c r="D89" i="9" s="1"/>
  <c r="D90" i="9" s="1"/>
  <c r="D91" i="9" s="1"/>
  <c r="D92" i="9" s="1"/>
  <c r="C83" i="9"/>
  <c r="D72" i="9"/>
  <c r="D73" i="9" s="1"/>
  <c r="D74" i="9" s="1"/>
  <c r="D75" i="9" s="1"/>
  <c r="D76" i="9" s="1"/>
  <c r="D77" i="9" s="1"/>
  <c r="D78" i="9" s="1"/>
  <c r="D79" i="9" s="1"/>
  <c r="D80" i="9" s="1"/>
  <c r="C71" i="9"/>
  <c r="D60" i="9"/>
  <c r="D61" i="9" s="1"/>
  <c r="D62" i="9" s="1"/>
  <c r="D63" i="9" s="1"/>
  <c r="D64" i="9" s="1"/>
  <c r="D65" i="9" s="1"/>
  <c r="D66" i="9" s="1"/>
  <c r="D67" i="9" s="1"/>
  <c r="D68" i="9" s="1"/>
  <c r="C59" i="9"/>
  <c r="D48" i="9"/>
  <c r="D49" i="9" s="1"/>
  <c r="D50" i="9" s="1"/>
  <c r="D51" i="9" s="1"/>
  <c r="D52" i="9" s="1"/>
  <c r="D53" i="9" s="1"/>
  <c r="D54" i="9" s="1"/>
  <c r="D55" i="9" s="1"/>
  <c r="D56" i="9" s="1"/>
  <c r="C47" i="9"/>
  <c r="C48" i="9" s="1"/>
  <c r="C49" i="9" s="1"/>
  <c r="C50" i="9" s="1"/>
  <c r="C51" i="9" s="1"/>
  <c r="C52" i="9" s="1"/>
  <c r="C53" i="9" s="1"/>
  <c r="C54" i="9" s="1"/>
  <c r="C55" i="9" s="1"/>
  <c r="C56" i="9" s="1"/>
  <c r="D33" i="9"/>
  <c r="D34" i="9" s="1"/>
  <c r="D35" i="9" s="1"/>
  <c r="D36" i="9" s="1"/>
  <c r="D37" i="9" s="1"/>
  <c r="D38" i="9" s="1"/>
  <c r="D39" i="9" s="1"/>
  <c r="D40" i="9" s="1"/>
  <c r="D41" i="9" s="1"/>
  <c r="D42" i="9" s="1"/>
  <c r="D43" i="9" s="1"/>
  <c r="C32" i="9"/>
  <c r="C33" i="9" s="1"/>
  <c r="C34" i="9" s="1"/>
  <c r="C35" i="9" s="1"/>
  <c r="C36" i="9" s="1"/>
  <c r="C37" i="9" s="1"/>
  <c r="C38" i="9" s="1"/>
  <c r="C39" i="9" s="1"/>
  <c r="C40" i="9" s="1"/>
  <c r="C41" i="9" s="1"/>
  <c r="C42" i="9" s="1"/>
  <c r="C43" i="9" s="1"/>
  <c r="D29" i="9"/>
  <c r="C28" i="9"/>
  <c r="C29" i="9" s="1"/>
  <c r="D25" i="9"/>
  <c r="C24" i="9"/>
  <c r="C25" i="9" s="1"/>
  <c r="C21" i="9"/>
  <c r="D16" i="9"/>
  <c r="D17" i="9" s="1"/>
  <c r="D18" i="9" s="1"/>
  <c r="C15" i="9"/>
  <c r="C16" i="9" s="1"/>
  <c r="C17" i="9" s="1"/>
  <c r="C18" i="9" s="1"/>
  <c r="D11" i="9"/>
  <c r="D12" i="9" s="1"/>
  <c r="C10" i="9"/>
  <c r="C11" i="9" s="1"/>
  <c r="C12" i="9" s="1"/>
  <c r="C6" i="9"/>
  <c r="C7" i="9" s="1"/>
  <c r="K2" i="9"/>
  <c r="K1" i="9"/>
  <c r="G115" i="9"/>
  <c r="G116" i="9"/>
  <c r="F115" i="9"/>
  <c r="H115" i="9"/>
  <c r="F116" i="9"/>
  <c r="S114" i="6" l="1"/>
  <c r="S113" i="6"/>
  <c r="H114" i="9"/>
  <c r="G114" i="9"/>
  <c r="F114" i="9"/>
  <c r="C60" i="9"/>
  <c r="C84" i="9"/>
  <c r="C96" i="9"/>
  <c r="D98" i="9"/>
  <c r="D99" i="9" s="1"/>
  <c r="D100" i="9" s="1"/>
  <c r="D101" i="9" s="1"/>
  <c r="D102" i="9" s="1"/>
  <c r="D103" i="9" s="1"/>
  <c r="D104" i="9" s="1"/>
  <c r="C108" i="9"/>
  <c r="C72" i="9"/>
  <c r="K2" i="3"/>
  <c r="K1" i="3"/>
  <c r="G113" i="9"/>
  <c r="H12" i="9"/>
  <c r="F12" i="9"/>
  <c r="G12" i="9"/>
  <c r="F113" i="9"/>
  <c r="G18" i="9"/>
  <c r="G115" i="3"/>
  <c r="F115" i="3"/>
  <c r="F18" i="9"/>
  <c r="H18" i="9"/>
  <c r="H113" i="9"/>
  <c r="H115" i="3"/>
  <c r="F116" i="3"/>
  <c r="G116" i="3"/>
  <c r="F114" i="3" l="1"/>
  <c r="G114" i="3"/>
  <c r="H114" i="3"/>
  <c r="C97" i="9"/>
  <c r="C85" i="9"/>
  <c r="C73" i="9"/>
  <c r="C61" i="9"/>
  <c r="D29" i="3"/>
  <c r="C28" i="3"/>
  <c r="D25" i="3"/>
  <c r="C24" i="3"/>
  <c r="C32" i="3"/>
  <c r="C21" i="3"/>
  <c r="D16" i="3"/>
  <c r="D17" i="3" s="1"/>
  <c r="C62" i="9" l="1"/>
  <c r="C74" i="9"/>
  <c r="C86" i="9"/>
  <c r="C98" i="9"/>
  <c r="C29" i="3"/>
  <c r="C25" i="3"/>
  <c r="G84" i="9"/>
  <c r="H24" i="9"/>
  <c r="G43" i="9"/>
  <c r="F95" i="9"/>
  <c r="G73" i="9"/>
  <c r="G42" i="9"/>
  <c r="H36" i="9"/>
  <c r="G50" i="9"/>
  <c r="G33" i="9"/>
  <c r="H47" i="9"/>
  <c r="H32" i="9"/>
  <c r="H17" i="9"/>
  <c r="G40" i="9"/>
  <c r="F47" i="9"/>
  <c r="G97" i="9"/>
  <c r="G37" i="9"/>
  <c r="G38" i="9"/>
  <c r="F34" i="9"/>
  <c r="H71" i="9"/>
  <c r="G96" i="9"/>
  <c r="G53" i="9"/>
  <c r="H6" i="9"/>
  <c r="F11" i="9"/>
  <c r="F108" i="9"/>
  <c r="F72" i="9"/>
  <c r="H42" i="9"/>
  <c r="G25" i="9"/>
  <c r="H96" i="9"/>
  <c r="F6" i="9"/>
  <c r="F85" i="9"/>
  <c r="F10" i="9"/>
  <c r="H41" i="9"/>
  <c r="H51" i="9"/>
  <c r="G61" i="9"/>
  <c r="G36" i="9"/>
  <c r="G10" i="9"/>
  <c r="F42" i="9"/>
  <c r="F41" i="9"/>
  <c r="H97" i="9"/>
  <c r="F97" i="9"/>
  <c r="H37" i="9"/>
  <c r="F33" i="9"/>
  <c r="E108" i="9"/>
  <c r="H84" i="9"/>
  <c r="H107" i="9"/>
  <c r="F15" i="9"/>
  <c r="H85" i="9"/>
  <c r="G47" i="9"/>
  <c r="F25" i="9"/>
  <c r="G112" i="9"/>
  <c r="H74" i="9"/>
  <c r="F38" i="9"/>
  <c r="F21" i="9"/>
  <c r="F56" i="9"/>
  <c r="G83" i="9"/>
  <c r="H112" i="9"/>
  <c r="F83" i="9"/>
  <c r="F35" i="9"/>
  <c r="G11" i="9"/>
  <c r="H48" i="9"/>
  <c r="G51" i="9"/>
  <c r="H29" i="9"/>
  <c r="H54" i="9"/>
  <c r="G56" i="9"/>
  <c r="G54" i="9"/>
  <c r="G85" i="9"/>
  <c r="F43" i="9"/>
  <c r="F16" i="9"/>
  <c r="F51" i="9"/>
  <c r="F96" i="9"/>
  <c r="G7" i="9"/>
  <c r="H49" i="9"/>
  <c r="F74" i="9"/>
  <c r="H72" i="9"/>
  <c r="F40" i="9"/>
  <c r="H11" i="9"/>
  <c r="F86" i="9"/>
  <c r="F55" i="9"/>
  <c r="G107" i="9"/>
  <c r="H38" i="9"/>
  <c r="F71" i="9"/>
  <c r="F28" i="9"/>
  <c r="F32" i="9"/>
  <c r="G48" i="9"/>
  <c r="H73" i="9"/>
  <c r="H28" i="9"/>
  <c r="F60" i="9"/>
  <c r="H52" i="9"/>
  <c r="H35" i="9"/>
  <c r="G55" i="9"/>
  <c r="G28" i="9"/>
  <c r="F107" i="9"/>
  <c r="H16" i="9"/>
  <c r="G15" i="9"/>
  <c r="F39" i="9"/>
  <c r="G17" i="9"/>
  <c r="F53" i="9"/>
  <c r="H15" i="9"/>
  <c r="H25" i="9"/>
  <c r="H59" i="9"/>
  <c r="F111" i="9"/>
  <c r="H53" i="9"/>
  <c r="H10" i="9"/>
  <c r="F84" i="9"/>
  <c r="H43" i="9"/>
  <c r="F48" i="9"/>
  <c r="G52" i="9"/>
  <c r="H111" i="9"/>
  <c r="G29" i="9"/>
  <c r="F17" i="9"/>
  <c r="H55" i="9"/>
  <c r="F7" i="9"/>
  <c r="F24" i="9"/>
  <c r="H34" i="9"/>
  <c r="G108" i="9"/>
  <c r="G49" i="9"/>
  <c r="H21" i="9"/>
  <c r="H7" i="9"/>
  <c r="F59" i="9"/>
  <c r="G39" i="9"/>
  <c r="H56" i="9"/>
  <c r="H95" i="9"/>
  <c r="G60" i="9"/>
  <c r="H39" i="9"/>
  <c r="G34" i="9"/>
  <c r="G62" i="9"/>
  <c r="H40" i="9"/>
  <c r="F73" i="9"/>
  <c r="G71" i="9"/>
  <c r="G2" i="9"/>
  <c r="G95" i="9"/>
  <c r="F112" i="9"/>
  <c r="G21" i="9"/>
  <c r="F54" i="9"/>
  <c r="H50" i="9"/>
  <c r="F52" i="9"/>
  <c r="H33" i="9"/>
  <c r="G32" i="9"/>
  <c r="F50" i="9"/>
  <c r="F49" i="9"/>
  <c r="F61" i="9"/>
  <c r="H2" i="9"/>
  <c r="G59" i="9"/>
  <c r="G41" i="9"/>
  <c r="H83" i="9"/>
  <c r="G6" i="9"/>
  <c r="G72" i="9"/>
  <c r="G111" i="9"/>
  <c r="H61" i="9"/>
  <c r="F29" i="9"/>
  <c r="G35" i="9"/>
  <c r="G74" i="9"/>
  <c r="F37" i="9"/>
  <c r="G16" i="9"/>
  <c r="F36" i="9"/>
  <c r="H60" i="9"/>
  <c r="G24" i="9"/>
  <c r="R110" i="6" l="1"/>
  <c r="G19" i="6"/>
  <c r="H14" i="9"/>
  <c r="G14" i="9"/>
  <c r="F14" i="9"/>
  <c r="H46" i="9"/>
  <c r="L55" i="6"/>
  <c r="G23" i="9"/>
  <c r="L48" i="6"/>
  <c r="I25" i="6"/>
  <c r="F20" i="9"/>
  <c r="H22" i="6"/>
  <c r="H9" i="9"/>
  <c r="Q107" i="6"/>
  <c r="F106" i="9"/>
  <c r="K38" i="6"/>
  <c r="L54" i="6"/>
  <c r="K35" i="6"/>
  <c r="H27" i="9"/>
  <c r="N73" i="6"/>
  <c r="G18" i="6"/>
  <c r="M60" i="6"/>
  <c r="G70" i="9"/>
  <c r="N72" i="6"/>
  <c r="L52" i="6"/>
  <c r="F27" i="9"/>
  <c r="J30" i="6"/>
  <c r="G20" i="9"/>
  <c r="G58" i="9"/>
  <c r="L51" i="6"/>
  <c r="H70" i="9"/>
  <c r="M61" i="6"/>
  <c r="F23" i="9"/>
  <c r="I26" i="6"/>
  <c r="L56" i="6"/>
  <c r="O84" i="6"/>
  <c r="F110" i="9"/>
  <c r="K43" i="6"/>
  <c r="H110" i="9"/>
  <c r="H31" i="9"/>
  <c r="K37" i="6"/>
  <c r="F13" i="6"/>
  <c r="F9" i="9"/>
  <c r="L53" i="6"/>
  <c r="E10" i="6"/>
  <c r="O85" i="6"/>
  <c r="E9" i="6"/>
  <c r="F5" i="9"/>
  <c r="F58" i="9" s="1"/>
  <c r="H58" i="9"/>
  <c r="K36" i="6"/>
  <c r="F14" i="6"/>
  <c r="L47" i="6"/>
  <c r="N71" i="6"/>
  <c r="K42" i="6"/>
  <c r="L49" i="6"/>
  <c r="F31" i="9"/>
  <c r="K34" i="6"/>
  <c r="G9" i="9"/>
  <c r="G17" i="6"/>
  <c r="K39" i="6"/>
  <c r="M59" i="6"/>
  <c r="P95" i="6"/>
  <c r="G110" i="9"/>
  <c r="H82" i="9"/>
  <c r="H5" i="9"/>
  <c r="P96" i="6"/>
  <c r="G5" i="9"/>
  <c r="G46" i="9"/>
  <c r="P97" i="6"/>
  <c r="H20" i="9"/>
  <c r="H106" i="9"/>
  <c r="K40" i="6"/>
  <c r="J29" i="6"/>
  <c r="G27" i="9"/>
  <c r="G106" i="9"/>
  <c r="K33" i="6"/>
  <c r="L50" i="6"/>
  <c r="G31" i="9"/>
  <c r="O83" i="6"/>
  <c r="H23" i="9"/>
  <c r="G82" i="9"/>
  <c r="K41" i="6"/>
  <c r="K44" i="6"/>
  <c r="O86" i="6"/>
  <c r="N74" i="6"/>
  <c r="C99" i="9"/>
  <c r="C87" i="9"/>
  <c r="C75" i="9"/>
  <c r="C63" i="9"/>
  <c r="F98" i="9"/>
  <c r="F62" i="9"/>
  <c r="G98" i="9"/>
  <c r="H62" i="9"/>
  <c r="H86" i="9"/>
  <c r="G63" i="9"/>
  <c r="F75" i="9"/>
  <c r="H98" i="9"/>
  <c r="G86" i="9"/>
  <c r="G99" i="9"/>
  <c r="F87" i="9"/>
  <c r="G87" i="9"/>
  <c r="H99" i="9"/>
  <c r="P98" i="6" l="1"/>
  <c r="F46" i="9"/>
  <c r="M62" i="6"/>
  <c r="N75" i="6"/>
  <c r="O87" i="6"/>
  <c r="C64" i="9"/>
  <c r="C76" i="9"/>
  <c r="C88" i="9"/>
  <c r="C100" i="9"/>
  <c r="D35" i="4"/>
  <c r="G88" i="9"/>
  <c r="F99" i="9"/>
  <c r="H64" i="9"/>
  <c r="H76" i="9"/>
  <c r="F63" i="9"/>
  <c r="G100" i="9"/>
  <c r="H75" i="9"/>
  <c r="H87" i="9"/>
  <c r="G75" i="9"/>
  <c r="F100" i="9"/>
  <c r="H63" i="9"/>
  <c r="F88" i="9"/>
  <c r="M63" i="6" l="1"/>
  <c r="P99" i="6"/>
  <c r="P100" i="6"/>
  <c r="O88" i="6"/>
  <c r="C101" i="9"/>
  <c r="C89" i="9"/>
  <c r="C77" i="9"/>
  <c r="C65" i="9"/>
  <c r="D108" i="3"/>
  <c r="G64" i="9"/>
  <c r="G28" i="3"/>
  <c r="H88" i="9"/>
  <c r="H77" i="9"/>
  <c r="F21" i="3"/>
  <c r="F76" i="9"/>
  <c r="F29" i="3"/>
  <c r="G25" i="3"/>
  <c r="G24" i="3"/>
  <c r="G101" i="9"/>
  <c r="G76" i="9"/>
  <c r="F24" i="3"/>
  <c r="H28" i="3"/>
  <c r="H24" i="3"/>
  <c r="H65" i="9"/>
  <c r="H89" i="9"/>
  <c r="G21" i="3"/>
  <c r="F28" i="3"/>
  <c r="F64" i="9"/>
  <c r="H100" i="9"/>
  <c r="H25" i="3"/>
  <c r="H21" i="3"/>
  <c r="H29" i="3"/>
  <c r="G29" i="3"/>
  <c r="F65" i="9"/>
  <c r="G65" i="9"/>
  <c r="F25" i="3"/>
  <c r="N76" i="6" l="1"/>
  <c r="M64" i="6"/>
  <c r="M65" i="6"/>
  <c r="C78" i="9"/>
  <c r="C90" i="9"/>
  <c r="C66" i="9"/>
  <c r="C102" i="9"/>
  <c r="F27" i="3"/>
  <c r="G15" i="5" s="1"/>
  <c r="L3" i="5" s="1"/>
  <c r="G23" i="3"/>
  <c r="F23" i="3"/>
  <c r="G27" i="3"/>
  <c r="H27" i="3"/>
  <c r="H23" i="3"/>
  <c r="F20" i="3"/>
  <c r="G11" i="5" s="1"/>
  <c r="J3" i="5" s="1"/>
  <c r="H20" i="3"/>
  <c r="G20" i="3"/>
  <c r="C1" i="2"/>
  <c r="B3" i="1"/>
  <c r="C3" i="1"/>
  <c r="C6" i="3"/>
  <c r="C7" i="3" s="1"/>
  <c r="C10" i="3"/>
  <c r="C11" i="3" s="1"/>
  <c r="D11" i="3"/>
  <c r="C15" i="3"/>
  <c r="C16" i="3" s="1"/>
  <c r="C17" i="3" s="1"/>
  <c r="D33" i="3"/>
  <c r="D34" i="3" s="1"/>
  <c r="D35" i="3" s="1"/>
  <c r="D36" i="3" s="1"/>
  <c r="D37" i="3" s="1"/>
  <c r="D38" i="3" s="1"/>
  <c r="D39" i="3" s="1"/>
  <c r="D40" i="3" s="1"/>
  <c r="D41" i="3" s="1"/>
  <c r="D42" i="3" s="1"/>
  <c r="D43" i="3" s="1"/>
  <c r="C47" i="3"/>
  <c r="C48" i="3" s="1"/>
  <c r="C49" i="3" s="1"/>
  <c r="C50" i="3" s="1"/>
  <c r="C51" i="3" s="1"/>
  <c r="C52" i="3" s="1"/>
  <c r="C53" i="3" s="1"/>
  <c r="C54" i="3" s="1"/>
  <c r="C55" i="3" s="1"/>
  <c r="C56" i="3" s="1"/>
  <c r="D48" i="3"/>
  <c r="D49" i="3" s="1"/>
  <c r="D50" i="3" s="1"/>
  <c r="D51" i="3" s="1"/>
  <c r="D52" i="3" s="1"/>
  <c r="D53" i="3" s="1"/>
  <c r="D54" i="3" s="1"/>
  <c r="D55" i="3" s="1"/>
  <c r="D56" i="3" s="1"/>
  <c r="C59" i="3"/>
  <c r="C60" i="3" s="1"/>
  <c r="C61" i="3" s="1"/>
  <c r="C62" i="3" s="1"/>
  <c r="C63" i="3" s="1"/>
  <c r="C64" i="3" s="1"/>
  <c r="C65" i="3" s="1"/>
  <c r="D60" i="3"/>
  <c r="D61" i="3" s="1"/>
  <c r="D62" i="3" s="1"/>
  <c r="D63" i="3" s="1"/>
  <c r="D64" i="3" s="1"/>
  <c r="D65" i="3" s="1"/>
  <c r="D66" i="3" s="1"/>
  <c r="D67" i="3" s="1"/>
  <c r="D68" i="3" s="1"/>
  <c r="C71" i="3"/>
  <c r="C72" i="3" s="1"/>
  <c r="C73" i="3" s="1"/>
  <c r="C74" i="3" s="1"/>
  <c r="C75" i="3" s="1"/>
  <c r="C76" i="3" s="1"/>
  <c r="C77" i="3" s="1"/>
  <c r="D72" i="3"/>
  <c r="D73" i="3" s="1"/>
  <c r="D74" i="3" s="1"/>
  <c r="D75" i="3" s="1"/>
  <c r="D76" i="3" s="1"/>
  <c r="D77" i="3" s="1"/>
  <c r="D78" i="3" s="1"/>
  <c r="D79" i="3" s="1"/>
  <c r="D80" i="3" s="1"/>
  <c r="C83" i="3"/>
  <c r="C84" i="3" s="1"/>
  <c r="C85" i="3" s="1"/>
  <c r="C86" i="3" s="1"/>
  <c r="C87" i="3" s="1"/>
  <c r="C88" i="3" s="1"/>
  <c r="C89" i="3" s="1"/>
  <c r="D84" i="3"/>
  <c r="D85" i="3" s="1"/>
  <c r="D86" i="3" s="1"/>
  <c r="D87" i="3" s="1"/>
  <c r="D88" i="3" s="1"/>
  <c r="D89" i="3" s="1"/>
  <c r="D90" i="3" s="1"/>
  <c r="D91" i="3" s="1"/>
  <c r="D92" i="3" s="1"/>
  <c r="C95" i="3"/>
  <c r="C96" i="3" s="1"/>
  <c r="C97" i="3" s="1"/>
  <c r="C98" i="3" s="1"/>
  <c r="C99" i="3" s="1"/>
  <c r="C100" i="3" s="1"/>
  <c r="C101" i="3" s="1"/>
  <c r="C102" i="3" s="1"/>
  <c r="C103" i="3" s="1"/>
  <c r="C104" i="3" s="1"/>
  <c r="D96" i="3"/>
  <c r="D97" i="3" s="1"/>
  <c r="D98" i="3" s="1"/>
  <c r="D99" i="3" s="1"/>
  <c r="D100" i="3" s="1"/>
  <c r="D101" i="3" s="1"/>
  <c r="D102" i="3" s="1"/>
  <c r="D103" i="3" s="1"/>
  <c r="D104" i="3" s="1"/>
  <c r="C107" i="3"/>
  <c r="C108" i="3" s="1"/>
  <c r="C112" i="3"/>
  <c r="C113" i="3" s="1"/>
  <c r="F77" i="9"/>
  <c r="F90" i="9"/>
  <c r="H102" i="9"/>
  <c r="G77" i="9"/>
  <c r="F17" i="3"/>
  <c r="F78" i="9"/>
  <c r="H17" i="3"/>
  <c r="H16" i="3"/>
  <c r="H90" i="9"/>
  <c r="F101" i="9"/>
  <c r="F89" i="9"/>
  <c r="H78" i="9"/>
  <c r="G17" i="3"/>
  <c r="G90" i="9"/>
  <c r="F66" i="9"/>
  <c r="G78" i="9"/>
  <c r="G89" i="9"/>
  <c r="H101" i="9"/>
  <c r="B18" i="8" l="1"/>
  <c r="AA105" i="2"/>
  <c r="AA93" i="2"/>
  <c r="AA84" i="2"/>
  <c r="AA76" i="2"/>
  <c r="AA67" i="2"/>
  <c r="AA58" i="2"/>
  <c r="AA49" i="2"/>
  <c r="AA38" i="2"/>
  <c r="AA30" i="2"/>
  <c r="AA20" i="2"/>
  <c r="AA4" i="2"/>
  <c r="B9" i="8"/>
  <c r="AA104" i="2"/>
  <c r="AA92" i="2"/>
  <c r="AA83" i="2"/>
  <c r="AA75" i="2"/>
  <c r="AA66" i="2"/>
  <c r="AA57" i="2"/>
  <c r="AA48" i="2"/>
  <c r="AA37" i="2"/>
  <c r="AA29" i="2"/>
  <c r="AA18" i="2"/>
  <c r="AA13" i="2"/>
  <c r="AA102" i="2"/>
  <c r="AA91" i="2"/>
  <c r="AA82" i="2"/>
  <c r="AA73" i="2"/>
  <c r="AA65" i="2"/>
  <c r="AA56" i="2"/>
  <c r="AA47" i="2"/>
  <c r="AA36" i="2"/>
  <c r="AA28" i="2"/>
  <c r="AA15" i="2"/>
  <c r="AA9" i="2"/>
  <c r="AA101" i="2"/>
  <c r="AA90" i="2"/>
  <c r="AA81" i="2"/>
  <c r="AA72" i="2"/>
  <c r="AA64" i="2"/>
  <c r="AA55" i="2"/>
  <c r="AA46" i="2"/>
  <c r="AA35" i="2"/>
  <c r="AA27" i="2"/>
  <c r="AA14" i="2"/>
  <c r="AA21" i="2"/>
  <c r="AA11" i="2"/>
  <c r="AA100" i="2"/>
  <c r="AA89" i="2"/>
  <c r="AA80" i="2"/>
  <c r="AA71" i="2"/>
  <c r="AA62" i="2"/>
  <c r="AA54" i="2"/>
  <c r="AA45" i="2"/>
  <c r="AA34" i="2"/>
  <c r="AA26" i="2"/>
  <c r="AA10" i="2"/>
  <c r="B17" i="8"/>
  <c r="AA16" i="2"/>
  <c r="AA97" i="2"/>
  <c r="AA88" i="2"/>
  <c r="AA79" i="2"/>
  <c r="AA70" i="2"/>
  <c r="AA61" i="2"/>
  <c r="AA53" i="2"/>
  <c r="AA44" i="2"/>
  <c r="AA33" i="2"/>
  <c r="AA24" i="2"/>
  <c r="AA7" i="2"/>
  <c r="A17" i="8"/>
  <c r="AA95" i="2"/>
  <c r="AA87" i="2"/>
  <c r="AA78" i="2"/>
  <c r="AA69" i="2"/>
  <c r="AA60" i="2"/>
  <c r="AA51" i="2"/>
  <c r="AA43" i="2"/>
  <c r="AA32" i="2"/>
  <c r="AA23" i="2"/>
  <c r="AA6" i="2"/>
  <c r="C41" i="4"/>
  <c r="AA94" i="2"/>
  <c r="AA86" i="2"/>
  <c r="AA77" i="2"/>
  <c r="AA68" i="2"/>
  <c r="AA59" i="2"/>
  <c r="AA50" i="2"/>
  <c r="AA42" i="2"/>
  <c r="AA31" i="2"/>
  <c r="AA5" i="2"/>
  <c r="C40" i="4"/>
  <c r="W105" i="2"/>
  <c r="B104" i="2"/>
  <c r="W104" i="2"/>
  <c r="W102" i="2"/>
  <c r="W91" i="2"/>
  <c r="W82" i="2"/>
  <c r="W73" i="2"/>
  <c r="W65" i="2"/>
  <c r="W56" i="2"/>
  <c r="W28" i="2"/>
  <c r="S104" i="2"/>
  <c r="W101" i="2"/>
  <c r="W90" i="2"/>
  <c r="W81" i="2"/>
  <c r="W72" i="2"/>
  <c r="W64" i="2"/>
  <c r="W55" i="2"/>
  <c r="W46" i="2"/>
  <c r="W35" i="2"/>
  <c r="W27" i="2"/>
  <c r="W15" i="2"/>
  <c r="W5" i="2"/>
  <c r="W62" i="2"/>
  <c r="W45" i="2"/>
  <c r="W26" i="2"/>
  <c r="W4" i="2"/>
  <c r="K104" i="2"/>
  <c r="W88" i="2"/>
  <c r="W79" i="2"/>
  <c r="W70" i="2"/>
  <c r="W61" i="2"/>
  <c r="W53" i="2"/>
  <c r="W44" i="2"/>
  <c r="W24" i="2"/>
  <c r="W13" i="2"/>
  <c r="W69" i="2"/>
  <c r="W51" i="2"/>
  <c r="W11" i="2"/>
  <c r="W84" i="2"/>
  <c r="W67" i="2"/>
  <c r="W49" i="2"/>
  <c r="W38" i="2"/>
  <c r="W20" i="2"/>
  <c r="W57" i="2"/>
  <c r="W29" i="2"/>
  <c r="W7" i="2"/>
  <c r="W47" i="2"/>
  <c r="W6" i="2"/>
  <c r="O104" i="2"/>
  <c r="W100" i="2"/>
  <c r="W89" i="2"/>
  <c r="W80" i="2"/>
  <c r="W71" i="2"/>
  <c r="W54" i="2"/>
  <c r="W34" i="2"/>
  <c r="W14" i="2"/>
  <c r="W97" i="2"/>
  <c r="W33" i="2"/>
  <c r="W87" i="2"/>
  <c r="W78" i="2"/>
  <c r="W60" i="2"/>
  <c r="W43" i="2"/>
  <c r="W32" i="2"/>
  <c r="W23" i="2"/>
  <c r="W9" i="2"/>
  <c r="W83" i="2"/>
  <c r="W48" i="2"/>
  <c r="W37" i="2"/>
  <c r="W18" i="2"/>
  <c r="W36" i="2"/>
  <c r="W16" i="2"/>
  <c r="G104" i="2"/>
  <c r="W95" i="2"/>
  <c r="C104" i="2"/>
  <c r="W94" i="2"/>
  <c r="W86" i="2"/>
  <c r="W77" i="2"/>
  <c r="W68" i="2"/>
  <c r="W59" i="2"/>
  <c r="W50" i="2"/>
  <c r="W42" i="2"/>
  <c r="W31" i="2"/>
  <c r="W21" i="2"/>
  <c r="W10" i="2"/>
  <c r="W93" i="2"/>
  <c r="W76" i="2"/>
  <c r="W58" i="2"/>
  <c r="W30" i="2"/>
  <c r="W92" i="2"/>
  <c r="W75" i="2"/>
  <c r="W66" i="2"/>
  <c r="S16" i="2"/>
  <c r="S94" i="2"/>
  <c r="S86" i="2"/>
  <c r="S77" i="2"/>
  <c r="S68" i="2"/>
  <c r="S59" i="2"/>
  <c r="S50" i="2"/>
  <c r="S42" i="2"/>
  <c r="S31" i="2"/>
  <c r="S21" i="2"/>
  <c r="S7" i="2"/>
  <c r="S100" i="2"/>
  <c r="S15" i="2"/>
  <c r="S93" i="2"/>
  <c r="S84" i="2"/>
  <c r="S76" i="2"/>
  <c r="S67" i="2"/>
  <c r="S58" i="2"/>
  <c r="S49" i="2"/>
  <c r="S38" i="2"/>
  <c r="S30" i="2"/>
  <c r="S20" i="2"/>
  <c r="S6" i="2"/>
  <c r="S29" i="2"/>
  <c r="S5" i="2"/>
  <c r="S14" i="2"/>
  <c r="S89" i="2"/>
  <c r="C39" i="4"/>
  <c r="S92" i="2"/>
  <c r="S83" i="2"/>
  <c r="S75" i="2"/>
  <c r="S66" i="2"/>
  <c r="S57" i="2"/>
  <c r="S48" i="2"/>
  <c r="S37" i="2"/>
  <c r="S18" i="2"/>
  <c r="S4" i="2"/>
  <c r="S80" i="2"/>
  <c r="S34" i="2"/>
  <c r="S102" i="2"/>
  <c r="S91" i="2"/>
  <c r="S82" i="2"/>
  <c r="S73" i="2"/>
  <c r="S65" i="2"/>
  <c r="S56" i="2"/>
  <c r="S47" i="2"/>
  <c r="S36" i="2"/>
  <c r="S28" i="2"/>
  <c r="S13" i="2"/>
  <c r="S62" i="2"/>
  <c r="S54" i="2"/>
  <c r="S101" i="2"/>
  <c r="S90" i="2"/>
  <c r="S81" i="2"/>
  <c r="S72" i="2"/>
  <c r="S64" i="2"/>
  <c r="S55" i="2"/>
  <c r="S46" i="2"/>
  <c r="S35" i="2"/>
  <c r="S27" i="2"/>
  <c r="S71" i="2"/>
  <c r="S45" i="2"/>
  <c r="S97" i="2"/>
  <c r="S88" i="2"/>
  <c r="S79" i="2"/>
  <c r="S70" i="2"/>
  <c r="S61" i="2"/>
  <c r="S53" i="2"/>
  <c r="S44" i="2"/>
  <c r="S33" i="2"/>
  <c r="S24" i="2"/>
  <c r="S10" i="2"/>
  <c r="S26" i="2"/>
  <c r="S95" i="2"/>
  <c r="S87" i="2"/>
  <c r="S78" i="2"/>
  <c r="S69" i="2"/>
  <c r="S60" i="2"/>
  <c r="S51" i="2"/>
  <c r="S43" i="2"/>
  <c r="S32" i="2"/>
  <c r="S23" i="2"/>
  <c r="S9" i="2"/>
  <c r="S11" i="2"/>
  <c r="B10" i="8"/>
  <c r="B4" i="8"/>
  <c r="A4" i="8"/>
  <c r="C34" i="4"/>
  <c r="C38" i="4"/>
  <c r="D34" i="4"/>
  <c r="O100" i="2"/>
  <c r="O89" i="2"/>
  <c r="O80" i="2"/>
  <c r="O71" i="2"/>
  <c r="O62" i="2"/>
  <c r="O54" i="2"/>
  <c r="O45" i="2"/>
  <c r="O34" i="2"/>
  <c r="O26" i="2"/>
  <c r="O13" i="2"/>
  <c r="O97" i="2"/>
  <c r="O88" i="2"/>
  <c r="O79" i="2"/>
  <c r="O70" i="2"/>
  <c r="O61" i="2"/>
  <c r="O53" i="2"/>
  <c r="O44" i="2"/>
  <c r="O33" i="2"/>
  <c r="O24" i="2"/>
  <c r="O10" i="2"/>
  <c r="K15" i="2"/>
  <c r="O95" i="2"/>
  <c r="O87" i="2"/>
  <c r="O78" i="2"/>
  <c r="O69" i="2"/>
  <c r="O60" i="2"/>
  <c r="O51" i="2"/>
  <c r="O43" i="2"/>
  <c r="O32" i="2"/>
  <c r="O23" i="2"/>
  <c r="O9" i="2"/>
  <c r="O101" i="2"/>
  <c r="O72" i="2"/>
  <c r="O35" i="2"/>
  <c r="O14" i="2"/>
  <c r="O15" i="2"/>
  <c r="O94" i="2"/>
  <c r="O86" i="2"/>
  <c r="O77" i="2"/>
  <c r="O68" i="2"/>
  <c r="O59" i="2"/>
  <c r="O50" i="2"/>
  <c r="O42" i="2"/>
  <c r="O31" i="2"/>
  <c r="O21" i="2"/>
  <c r="O7" i="2"/>
  <c r="O91" i="2"/>
  <c r="O36" i="2"/>
  <c r="O90" i="2"/>
  <c r="O55" i="2"/>
  <c r="O11" i="2"/>
  <c r="O93" i="2"/>
  <c r="O84" i="2"/>
  <c r="O76" i="2"/>
  <c r="O67" i="2"/>
  <c r="O58" i="2"/>
  <c r="O49" i="2"/>
  <c r="O38" i="2"/>
  <c r="O30" i="2"/>
  <c r="O20" i="2"/>
  <c r="O6" i="2"/>
  <c r="O92" i="2"/>
  <c r="O83" i="2"/>
  <c r="O75" i="2"/>
  <c r="O66" i="2"/>
  <c r="O57" i="2"/>
  <c r="O48" i="2"/>
  <c r="O37" i="2"/>
  <c r="O29" i="2"/>
  <c r="O18" i="2"/>
  <c r="O5" i="2"/>
  <c r="O102" i="2"/>
  <c r="O82" i="2"/>
  <c r="O73" i="2"/>
  <c r="O65" i="2"/>
  <c r="O56" i="2"/>
  <c r="O47" i="2"/>
  <c r="O28" i="2"/>
  <c r="O16" i="2"/>
  <c r="O4" i="2"/>
  <c r="O81" i="2"/>
  <c r="O64" i="2"/>
  <c r="O46" i="2"/>
  <c r="O27" i="2"/>
  <c r="B13" i="8"/>
  <c r="N77" i="6"/>
  <c r="B14" i="8"/>
  <c r="C37" i="4"/>
  <c r="K100" i="2"/>
  <c r="K101" i="2"/>
  <c r="K102" i="2"/>
  <c r="K90" i="2"/>
  <c r="K81" i="2"/>
  <c r="K72" i="2"/>
  <c r="K64" i="2"/>
  <c r="K55" i="2"/>
  <c r="K46" i="2"/>
  <c r="K35" i="2"/>
  <c r="K27" i="2"/>
  <c r="K14" i="2"/>
  <c r="K89" i="2"/>
  <c r="K80" i="2"/>
  <c r="K71" i="2"/>
  <c r="K62" i="2"/>
  <c r="K54" i="2"/>
  <c r="K45" i="2"/>
  <c r="K34" i="2"/>
  <c r="K26" i="2"/>
  <c r="K13" i="2"/>
  <c r="K95" i="2"/>
  <c r="K69" i="2"/>
  <c r="K51" i="2"/>
  <c r="K32" i="2"/>
  <c r="K86" i="2"/>
  <c r="K59" i="2"/>
  <c r="K42" i="2"/>
  <c r="K21" i="2"/>
  <c r="K47" i="2"/>
  <c r="K97" i="2"/>
  <c r="K88" i="2"/>
  <c r="K79" i="2"/>
  <c r="K70" i="2"/>
  <c r="K61" i="2"/>
  <c r="K53" i="2"/>
  <c r="K44" i="2"/>
  <c r="K33" i="2"/>
  <c r="K24" i="2"/>
  <c r="K10" i="2"/>
  <c r="K87" i="2"/>
  <c r="K78" i="2"/>
  <c r="K60" i="2"/>
  <c r="K43" i="2"/>
  <c r="K23" i="2"/>
  <c r="K9" i="2"/>
  <c r="K94" i="2"/>
  <c r="K77" i="2"/>
  <c r="K68" i="2"/>
  <c r="K50" i="2"/>
  <c r="K31" i="2"/>
  <c r="K7" i="2"/>
  <c r="K36" i="2"/>
  <c r="K4" i="2"/>
  <c r="K93" i="2"/>
  <c r="K84" i="2"/>
  <c r="K76" i="2"/>
  <c r="K67" i="2"/>
  <c r="K58" i="2"/>
  <c r="K49" i="2"/>
  <c r="K38" i="2"/>
  <c r="K30" i="2"/>
  <c r="K20" i="2"/>
  <c r="K6" i="2"/>
  <c r="K92" i="2"/>
  <c r="K83" i="2"/>
  <c r="K75" i="2"/>
  <c r="K66" i="2"/>
  <c r="K57" i="2"/>
  <c r="K48" i="2"/>
  <c r="K37" i="2"/>
  <c r="K29" i="2"/>
  <c r="K18" i="2"/>
  <c r="K5" i="2"/>
  <c r="K91" i="2"/>
  <c r="K82" i="2"/>
  <c r="K73" i="2"/>
  <c r="K65" i="2"/>
  <c r="K56" i="2"/>
  <c r="K28" i="2"/>
  <c r="P101" i="6"/>
  <c r="G94" i="2"/>
  <c r="G50" i="2"/>
  <c r="G83" i="2"/>
  <c r="G34" i="2"/>
  <c r="G72" i="2"/>
  <c r="G61" i="2"/>
  <c r="A116" i="6"/>
  <c r="G21" i="2"/>
  <c r="B12" i="8"/>
  <c r="G20" i="2"/>
  <c r="B5" i="8"/>
  <c r="B8" i="8"/>
  <c r="C36" i="4"/>
  <c r="G100" i="2"/>
  <c r="G93" i="2"/>
  <c r="G89" i="2"/>
  <c r="G84" i="2"/>
  <c r="G80" i="2"/>
  <c r="G76" i="2"/>
  <c r="G71" i="2"/>
  <c r="G67" i="2"/>
  <c r="G62" i="2"/>
  <c r="G58" i="2"/>
  <c r="G54" i="2"/>
  <c r="G49" i="2"/>
  <c r="G45" i="2"/>
  <c r="G38" i="2"/>
  <c r="G30" i="2"/>
  <c r="G26" i="2"/>
  <c r="G16" i="2"/>
  <c r="G9" i="2"/>
  <c r="G4" i="2"/>
  <c r="G81" i="2"/>
  <c r="G59" i="2"/>
  <c r="G35" i="2"/>
  <c r="G31" i="2"/>
  <c r="G10" i="2"/>
  <c r="G97" i="2"/>
  <c r="G92" i="2"/>
  <c r="G88" i="2"/>
  <c r="G79" i="2"/>
  <c r="G75" i="2"/>
  <c r="G70" i="2"/>
  <c r="G66" i="2"/>
  <c r="G57" i="2"/>
  <c r="G53" i="2"/>
  <c r="G48" i="2"/>
  <c r="G44" i="2"/>
  <c r="G37" i="2"/>
  <c r="G33" i="2"/>
  <c r="G29" i="2"/>
  <c r="G24" i="2"/>
  <c r="G14" i="2"/>
  <c r="G7" i="2"/>
  <c r="G90" i="2"/>
  <c r="G68" i="2"/>
  <c r="G46" i="2"/>
  <c r="G18" i="2"/>
  <c r="G101" i="2"/>
  <c r="G95" i="2"/>
  <c r="G91" i="2"/>
  <c r="G87" i="2"/>
  <c r="G82" i="2"/>
  <c r="G78" i="2"/>
  <c r="G73" i="2"/>
  <c r="G69" i="2"/>
  <c r="G65" i="2"/>
  <c r="G60" i="2"/>
  <c r="G56" i="2"/>
  <c r="G51" i="2"/>
  <c r="G47" i="2"/>
  <c r="G43" i="2"/>
  <c r="G36" i="2"/>
  <c r="G32" i="2"/>
  <c r="G28" i="2"/>
  <c r="G23" i="2"/>
  <c r="G13" i="2"/>
  <c r="G6" i="2"/>
  <c r="G86" i="2"/>
  <c r="G77" i="2"/>
  <c r="G64" i="2"/>
  <c r="G55" i="2"/>
  <c r="G42" i="2"/>
  <c r="G27" i="2"/>
  <c r="G5" i="2"/>
  <c r="O89" i="6"/>
  <c r="C101" i="2"/>
  <c r="C95" i="2"/>
  <c r="C91" i="2"/>
  <c r="C87" i="2"/>
  <c r="C82" i="2"/>
  <c r="C78" i="2"/>
  <c r="C73" i="2"/>
  <c r="C69" i="2"/>
  <c r="C65" i="2"/>
  <c r="C60" i="2"/>
  <c r="C56" i="2"/>
  <c r="C50" i="2"/>
  <c r="C44" i="2"/>
  <c r="C42" i="2"/>
  <c r="C94" i="2"/>
  <c r="C90" i="2"/>
  <c r="C86" i="2"/>
  <c r="C81" i="2"/>
  <c r="C77" i="2"/>
  <c r="C72" i="2"/>
  <c r="C68" i="2"/>
  <c r="C64" i="2"/>
  <c r="C59" i="2"/>
  <c r="C55" i="2"/>
  <c r="C47" i="2"/>
  <c r="C43" i="2"/>
  <c r="C93" i="2"/>
  <c r="C89" i="2"/>
  <c r="C84" i="2"/>
  <c r="C80" i="2"/>
  <c r="C76" i="2"/>
  <c r="C71" i="2"/>
  <c r="C67" i="2"/>
  <c r="C62" i="2"/>
  <c r="C58" i="2"/>
  <c r="C54" i="2"/>
  <c r="C46" i="2"/>
  <c r="C92" i="2"/>
  <c r="C88" i="2"/>
  <c r="C83" i="2"/>
  <c r="C79" i="2"/>
  <c r="C75" i="2"/>
  <c r="C70" i="2"/>
  <c r="C66" i="2"/>
  <c r="C61" i="2"/>
  <c r="C57" i="2"/>
  <c r="C53" i="2"/>
  <c r="C45" i="2"/>
  <c r="C27" i="2"/>
  <c r="H94" i="9"/>
  <c r="M66" i="6"/>
  <c r="O90" i="6"/>
  <c r="N78" i="6"/>
  <c r="C66" i="3"/>
  <c r="C103" i="9"/>
  <c r="C67" i="9"/>
  <c r="C90" i="3"/>
  <c r="C78" i="3"/>
  <c r="C91" i="9"/>
  <c r="C79" i="9"/>
  <c r="C48" i="2"/>
  <c r="B34" i="4"/>
  <c r="C35" i="4"/>
  <c r="A1" i="8"/>
  <c r="B11" i="8"/>
  <c r="B7" i="8"/>
  <c r="B6" i="8"/>
  <c r="C100" i="2"/>
  <c r="B100" i="2"/>
  <c r="B110" i="9" s="1"/>
  <c r="C97" i="2"/>
  <c r="C51" i="2"/>
  <c r="C36" i="2"/>
  <c r="C32" i="2"/>
  <c r="C28" i="2"/>
  <c r="B75" i="2"/>
  <c r="B26" i="2"/>
  <c r="B31" i="9" s="1"/>
  <c r="A32" i="6" s="1"/>
  <c r="C21" i="2"/>
  <c r="C9" i="2"/>
  <c r="C35" i="2"/>
  <c r="B64" i="2"/>
  <c r="C20" i="2"/>
  <c r="B53" i="2"/>
  <c r="B58" i="9" s="1"/>
  <c r="A58" i="6" s="1"/>
  <c r="B20" i="2"/>
  <c r="C33" i="2"/>
  <c r="B86" i="2"/>
  <c r="B94" i="9" s="1"/>
  <c r="A94" i="6" s="1"/>
  <c r="B23" i="2"/>
  <c r="C31" i="2"/>
  <c r="C24" i="2"/>
  <c r="B9" i="2"/>
  <c r="C49" i="2"/>
  <c r="C38" i="2"/>
  <c r="C34" i="2"/>
  <c r="C30" i="2"/>
  <c r="C26" i="2"/>
  <c r="C23" i="2"/>
  <c r="B97" i="2"/>
  <c r="C37" i="2"/>
  <c r="C29" i="2"/>
  <c r="B42" i="2"/>
  <c r="B46" i="9" s="1"/>
  <c r="A46" i="6" s="1"/>
  <c r="C10" i="2"/>
  <c r="G13" i="5"/>
  <c r="K3" i="5" s="1"/>
  <c r="C33" i="3"/>
  <c r="B18" i="2"/>
  <c r="C7" i="2"/>
  <c r="C4" i="2"/>
  <c r="C13" i="2"/>
  <c r="C5" i="2"/>
  <c r="C16" i="2"/>
  <c r="C6" i="2"/>
  <c r="B4" i="2"/>
  <c r="C14" i="2"/>
  <c r="B13" i="2"/>
  <c r="B6" i="2"/>
  <c r="C18" i="2"/>
  <c r="D3" i="6"/>
  <c r="A3" i="6"/>
  <c r="A1" i="6"/>
  <c r="B11" i="7"/>
  <c r="B6" i="7"/>
  <c r="B4" i="7"/>
  <c r="B3" i="7"/>
  <c r="V1" i="5"/>
  <c r="H103" i="9"/>
  <c r="E78" i="9"/>
  <c r="E28" i="9"/>
  <c r="E33" i="3"/>
  <c r="E75" i="9"/>
  <c r="E72" i="9"/>
  <c r="E6" i="9"/>
  <c r="E63" i="9"/>
  <c r="E35" i="9"/>
  <c r="E87" i="9"/>
  <c r="H67" i="9"/>
  <c r="E53" i="9"/>
  <c r="E115" i="9"/>
  <c r="E60" i="9"/>
  <c r="E47" i="9"/>
  <c r="E100" i="9"/>
  <c r="H66" i="9"/>
  <c r="H113" i="3"/>
  <c r="E113" i="9"/>
  <c r="F108" i="3"/>
  <c r="E25" i="9"/>
  <c r="E98" i="9"/>
  <c r="E51" i="9"/>
  <c r="E29" i="9"/>
  <c r="E112" i="3"/>
  <c r="E7" i="9"/>
  <c r="E101" i="9"/>
  <c r="E99" i="9"/>
  <c r="E36" i="9"/>
  <c r="E95" i="9"/>
  <c r="E42" i="9"/>
  <c r="E90" i="3"/>
  <c r="E34" i="9"/>
  <c r="E77" i="3"/>
  <c r="E116" i="3"/>
  <c r="E116" i="9"/>
  <c r="E33" i="9"/>
  <c r="E49" i="9"/>
  <c r="E40" i="9"/>
  <c r="E29" i="3"/>
  <c r="E76" i="9"/>
  <c r="E107" i="9"/>
  <c r="G16" i="3"/>
  <c r="E55" i="9"/>
  <c r="E43" i="9"/>
  <c r="E89" i="3"/>
  <c r="E78" i="3"/>
  <c r="E91" i="9"/>
  <c r="E61" i="9"/>
  <c r="E66" i="3"/>
  <c r="E25" i="3"/>
  <c r="E97" i="9"/>
  <c r="E64" i="9"/>
  <c r="E103" i="9"/>
  <c r="E32" i="9"/>
  <c r="E21" i="9"/>
  <c r="E52" i="9"/>
  <c r="E85" i="9"/>
  <c r="E77" i="9"/>
  <c r="E37" i="9"/>
  <c r="E112" i="9"/>
  <c r="E53" i="3"/>
  <c r="E66" i="9"/>
  <c r="E111" i="3"/>
  <c r="E65" i="3"/>
  <c r="E88" i="9"/>
  <c r="E48" i="9"/>
  <c r="E62" i="9"/>
  <c r="E102" i="9"/>
  <c r="E54" i="9"/>
  <c r="E73" i="9"/>
  <c r="G108" i="3"/>
  <c r="E50" i="9"/>
  <c r="E111" i="9"/>
  <c r="G102" i="9"/>
  <c r="H91" i="9"/>
  <c r="E56" i="9"/>
  <c r="E89" i="9"/>
  <c r="E21" i="3"/>
  <c r="E28" i="3"/>
  <c r="E41" i="9"/>
  <c r="E96" i="9"/>
  <c r="H79" i="9"/>
  <c r="E39" i="9"/>
  <c r="F16" i="3"/>
  <c r="E86" i="9"/>
  <c r="E59" i="9"/>
  <c r="E113" i="3"/>
  <c r="E2" i="9"/>
  <c r="G113" i="3"/>
  <c r="E24" i="9"/>
  <c r="E24" i="3"/>
  <c r="E65" i="9"/>
  <c r="E108" i="3"/>
  <c r="F103" i="9"/>
  <c r="G66" i="9"/>
  <c r="E74" i="9"/>
  <c r="E84" i="9"/>
  <c r="E115" i="3"/>
  <c r="E83" i="9"/>
  <c r="E90" i="9"/>
  <c r="E38" i="9"/>
  <c r="F113" i="3"/>
  <c r="E71" i="9"/>
  <c r="F102" i="9"/>
  <c r="A113" i="6" l="1"/>
  <c r="E114" i="3"/>
  <c r="E9" i="3"/>
  <c r="E31" i="9"/>
  <c r="E5" i="9"/>
  <c r="A114" i="6"/>
  <c r="E114" i="9"/>
  <c r="B114" i="9"/>
  <c r="A112" i="6" s="1"/>
  <c r="B114" i="3"/>
  <c r="A109" i="6"/>
  <c r="A110" i="6"/>
  <c r="A17" i="6"/>
  <c r="A19" i="6"/>
  <c r="A13" i="6"/>
  <c r="E110" i="3"/>
  <c r="P102" i="6"/>
  <c r="G94" i="9"/>
  <c r="A91" i="6"/>
  <c r="A55" i="6"/>
  <c r="A48" i="6"/>
  <c r="A102" i="6"/>
  <c r="A98" i="6"/>
  <c r="A103" i="6"/>
  <c r="A97" i="6"/>
  <c r="A100" i="6"/>
  <c r="A99" i="6"/>
  <c r="A101" i="6"/>
  <c r="A96" i="6"/>
  <c r="A95" i="6"/>
  <c r="A84" i="6"/>
  <c r="A85" i="6"/>
  <c r="A87" i="6"/>
  <c r="A90" i="6"/>
  <c r="A83" i="6"/>
  <c r="A89" i="6"/>
  <c r="A86" i="6"/>
  <c r="A88" i="6"/>
  <c r="A77" i="6"/>
  <c r="A78" i="6"/>
  <c r="A75" i="6"/>
  <c r="A71" i="6"/>
  <c r="A76" i="6"/>
  <c r="A74" i="6"/>
  <c r="A73" i="6"/>
  <c r="A72" i="6"/>
  <c r="A60" i="6"/>
  <c r="A63" i="6"/>
  <c r="A62" i="6"/>
  <c r="A66" i="6"/>
  <c r="A61" i="6"/>
  <c r="A65" i="6"/>
  <c r="A59" i="6"/>
  <c r="A64" i="6"/>
  <c r="A52" i="6"/>
  <c r="A51" i="6"/>
  <c r="A50" i="6"/>
  <c r="A49" i="6"/>
  <c r="A47" i="6"/>
  <c r="E58" i="9"/>
  <c r="A34" i="6"/>
  <c r="P103" i="6"/>
  <c r="C92" i="9"/>
  <c r="C34" i="3"/>
  <c r="C79" i="3"/>
  <c r="C80" i="3" s="1"/>
  <c r="C67" i="3"/>
  <c r="C68" i="3" s="1"/>
  <c r="C104" i="9"/>
  <c r="C91" i="3"/>
  <c r="C92" i="3" s="1"/>
  <c r="C80" i="9"/>
  <c r="C68" i="9"/>
  <c r="B110" i="3"/>
  <c r="A29" i="4" s="1"/>
  <c r="A44" i="6"/>
  <c r="A25" i="6"/>
  <c r="A39" i="6"/>
  <c r="A18" i="6"/>
  <c r="A14" i="6"/>
  <c r="A41" i="6"/>
  <c r="E27" i="9"/>
  <c r="A30" i="6"/>
  <c r="A40" i="6"/>
  <c r="A43" i="6"/>
  <c r="A42" i="6"/>
  <c r="A56" i="6"/>
  <c r="E46" i="9"/>
  <c r="E20" i="9"/>
  <c r="A22" i="6"/>
  <c r="E14" i="9"/>
  <c r="A29" i="6"/>
  <c r="A38" i="6"/>
  <c r="E110" i="9"/>
  <c r="A9" i="6"/>
  <c r="A6" i="6"/>
  <c r="A36" i="6"/>
  <c r="A33" i="6"/>
  <c r="A54" i="6"/>
  <c r="E9" i="9"/>
  <c r="A35" i="6"/>
  <c r="E106" i="9"/>
  <c r="A107" i="6"/>
  <c r="A10" i="6"/>
  <c r="A37" i="6"/>
  <c r="A26" i="6"/>
  <c r="E23" i="9"/>
  <c r="A53" i="6"/>
  <c r="B14" i="3"/>
  <c r="A7" i="4" s="1"/>
  <c r="B14" i="9"/>
  <c r="A16" i="6" s="1"/>
  <c r="B9" i="3"/>
  <c r="A6" i="5" s="1"/>
  <c r="B9" i="9"/>
  <c r="A12" i="6" s="1"/>
  <c r="E3" i="3"/>
  <c r="F3" i="5" s="1"/>
  <c r="E3" i="9"/>
  <c r="B20" i="3"/>
  <c r="A10" i="5" s="1"/>
  <c r="B20" i="9"/>
  <c r="A21" i="6" s="1"/>
  <c r="B106" i="3"/>
  <c r="A28" i="5" s="1"/>
  <c r="B106" i="9"/>
  <c r="B70" i="3"/>
  <c r="A21" i="4" s="1"/>
  <c r="B70" i="9"/>
  <c r="A70" i="6" s="1"/>
  <c r="B2" i="3"/>
  <c r="B2" i="9"/>
  <c r="A5" i="6" s="1"/>
  <c r="B23" i="3"/>
  <c r="A12" i="5" s="1"/>
  <c r="B23" i="9"/>
  <c r="A24" i="6" s="1"/>
  <c r="B82" i="3"/>
  <c r="A23" i="4" s="1"/>
  <c r="B82" i="9"/>
  <c r="A82" i="6" s="1"/>
  <c r="B5" i="3"/>
  <c r="A3" i="4" s="1"/>
  <c r="B5" i="9"/>
  <c r="A8" i="6" s="1"/>
  <c r="B27" i="3"/>
  <c r="A13" i="4" s="1"/>
  <c r="B27" i="9"/>
  <c r="A28" i="6" s="1"/>
  <c r="B94" i="3"/>
  <c r="A25" i="4" s="1"/>
  <c r="E27" i="3"/>
  <c r="A14" i="4" s="1"/>
  <c r="E23" i="3"/>
  <c r="A12" i="4" s="1"/>
  <c r="E20" i="3"/>
  <c r="A10" i="4" s="1"/>
  <c r="B46" i="3"/>
  <c r="A17" i="4" s="1"/>
  <c r="B31" i="3"/>
  <c r="A15" i="4" s="1"/>
  <c r="B58" i="3"/>
  <c r="A19" i="4" s="1"/>
  <c r="E104" i="9"/>
  <c r="F92" i="9"/>
  <c r="G91" i="9"/>
  <c r="E34" i="3"/>
  <c r="F104" i="9"/>
  <c r="G67" i="9"/>
  <c r="G68" i="9"/>
  <c r="F68" i="9"/>
  <c r="E92" i="3"/>
  <c r="G79" i="9"/>
  <c r="E80" i="3"/>
  <c r="G92" i="9"/>
  <c r="G80" i="9"/>
  <c r="H68" i="9"/>
  <c r="E68" i="3"/>
  <c r="E67" i="9"/>
  <c r="F79" i="9"/>
  <c r="F67" i="9"/>
  <c r="E68" i="9"/>
  <c r="G104" i="9"/>
  <c r="F80" i="9"/>
  <c r="E80" i="9"/>
  <c r="F91" i="9"/>
  <c r="G103" i="9"/>
  <c r="E79" i="9"/>
  <c r="A32" i="5" l="1"/>
  <c r="A31" i="4"/>
  <c r="A106" i="6"/>
  <c r="A27" i="4"/>
  <c r="N79" i="6"/>
  <c r="A79" i="6"/>
  <c r="O91" i="6"/>
  <c r="A67" i="6"/>
  <c r="M67" i="6"/>
  <c r="A8" i="5"/>
  <c r="A24" i="5"/>
  <c r="A9" i="4"/>
  <c r="A4" i="5"/>
  <c r="A11" i="4"/>
  <c r="A22" i="5"/>
  <c r="A5" i="4"/>
  <c r="A80" i="6"/>
  <c r="A68" i="6"/>
  <c r="A30" i="5"/>
  <c r="M68" i="6"/>
  <c r="E70" i="9"/>
  <c r="N80" i="6"/>
  <c r="F70" i="9"/>
  <c r="A104" i="6"/>
  <c r="E94" i="9"/>
  <c r="F94" i="9"/>
  <c r="P104" i="6"/>
  <c r="O92" i="6"/>
  <c r="F82" i="9"/>
  <c r="C35" i="3"/>
  <c r="C36" i="3" s="1"/>
  <c r="C37" i="3" s="1"/>
  <c r="C38" i="3" s="1"/>
  <c r="C39" i="3" s="1"/>
  <c r="A14" i="5"/>
  <c r="A26" i="5"/>
  <c r="D6" i="6"/>
  <c r="A20" i="5"/>
  <c r="A18" i="5"/>
  <c r="A16" i="5"/>
  <c r="G102" i="3"/>
  <c r="G80" i="3"/>
  <c r="F92" i="3"/>
  <c r="F95" i="3"/>
  <c r="H62" i="3"/>
  <c r="H75" i="3"/>
  <c r="E56" i="3"/>
  <c r="F11" i="3"/>
  <c r="H87" i="3"/>
  <c r="H38" i="3"/>
  <c r="G38" i="3"/>
  <c r="F71" i="3"/>
  <c r="F76" i="3"/>
  <c r="H48" i="3"/>
  <c r="G62" i="3"/>
  <c r="F111" i="3"/>
  <c r="H103" i="3"/>
  <c r="G89" i="3"/>
  <c r="E54" i="3"/>
  <c r="H79" i="3"/>
  <c r="F55" i="3"/>
  <c r="G97" i="3"/>
  <c r="H10" i="3"/>
  <c r="F7" i="3"/>
  <c r="G95" i="3"/>
  <c r="H33" i="3"/>
  <c r="F63" i="3"/>
  <c r="F77" i="3"/>
  <c r="H35" i="3"/>
  <c r="F67" i="3"/>
  <c r="F6" i="3"/>
  <c r="G11" i="3"/>
  <c r="G79" i="3"/>
  <c r="G2" i="3"/>
  <c r="G111" i="3"/>
  <c r="F34" i="3"/>
  <c r="G37" i="3"/>
  <c r="H78" i="3"/>
  <c r="F85" i="3"/>
  <c r="E32" i="3"/>
  <c r="H111" i="3"/>
  <c r="G55" i="3"/>
  <c r="F65" i="3"/>
  <c r="F88" i="3"/>
  <c r="G72" i="3"/>
  <c r="H72" i="3"/>
  <c r="H49" i="3"/>
  <c r="F91" i="3"/>
  <c r="G87" i="3"/>
  <c r="F64" i="3"/>
  <c r="H60" i="3"/>
  <c r="H74" i="3"/>
  <c r="F37" i="3"/>
  <c r="H112" i="3"/>
  <c r="F48" i="3"/>
  <c r="G48" i="3"/>
  <c r="H2" i="3"/>
  <c r="H71" i="3"/>
  <c r="H54" i="3"/>
  <c r="F54" i="3"/>
  <c r="F72" i="3"/>
  <c r="H39" i="3"/>
  <c r="G6" i="3"/>
  <c r="H95" i="3"/>
  <c r="F107" i="3"/>
  <c r="H68" i="3"/>
  <c r="F84" i="3"/>
  <c r="F51" i="3"/>
  <c r="G39" i="3"/>
  <c r="F101" i="3"/>
  <c r="G51" i="3"/>
  <c r="F102" i="3"/>
  <c r="G33" i="3"/>
  <c r="G96" i="3"/>
  <c r="F62" i="3"/>
  <c r="G47" i="3"/>
  <c r="F68" i="3"/>
  <c r="H15" i="3"/>
  <c r="H102" i="3"/>
  <c r="G60" i="3"/>
  <c r="H55" i="3"/>
  <c r="F56" i="3"/>
  <c r="F61" i="3"/>
  <c r="G66" i="3"/>
  <c r="H92" i="9"/>
  <c r="E107" i="3"/>
  <c r="F112" i="3"/>
  <c r="E35" i="3"/>
  <c r="E36" i="3"/>
  <c r="G103" i="3"/>
  <c r="H101" i="3"/>
  <c r="G85" i="3"/>
  <c r="G63" i="3"/>
  <c r="H90" i="3"/>
  <c r="E7" i="3"/>
  <c r="H92" i="3"/>
  <c r="H61" i="3"/>
  <c r="H34" i="3"/>
  <c r="G53" i="3"/>
  <c r="G15" i="3"/>
  <c r="H67" i="3"/>
  <c r="H85" i="3"/>
  <c r="F50" i="3"/>
  <c r="H77" i="3"/>
  <c r="G77" i="3"/>
  <c r="F89" i="3"/>
  <c r="E2" i="3"/>
  <c r="G91" i="3"/>
  <c r="G99" i="3"/>
  <c r="H100" i="3"/>
  <c r="G74" i="3"/>
  <c r="F98" i="3"/>
  <c r="F49" i="3"/>
  <c r="G90" i="3"/>
  <c r="G101" i="3"/>
  <c r="G73" i="3"/>
  <c r="G59" i="3"/>
  <c r="H89" i="3"/>
  <c r="H65" i="3"/>
  <c r="G54" i="3"/>
  <c r="F83" i="3"/>
  <c r="F39" i="3"/>
  <c r="F33" i="3"/>
  <c r="H107" i="3"/>
  <c r="G83" i="3"/>
  <c r="F53" i="3"/>
  <c r="H36" i="3"/>
  <c r="H59" i="3"/>
  <c r="H64" i="3"/>
  <c r="H37" i="3"/>
  <c r="H84" i="3"/>
  <c r="G32" i="3"/>
  <c r="H98" i="3"/>
  <c r="H53" i="3"/>
  <c r="H97" i="3"/>
  <c r="G65" i="3"/>
  <c r="G88" i="3"/>
  <c r="H104" i="9"/>
  <c r="F104" i="3"/>
  <c r="H52" i="3"/>
  <c r="H80" i="3"/>
  <c r="H83" i="3"/>
  <c r="F79" i="3"/>
  <c r="G112" i="3"/>
  <c r="H6" i="3"/>
  <c r="E6" i="3"/>
  <c r="H86" i="3"/>
  <c r="H11" i="3"/>
  <c r="F66" i="3"/>
  <c r="H51" i="3"/>
  <c r="G34" i="3"/>
  <c r="G107" i="3"/>
  <c r="G7" i="3"/>
  <c r="H104" i="3"/>
  <c r="F32" i="3"/>
  <c r="G10" i="3"/>
  <c r="G78" i="3"/>
  <c r="F35" i="3"/>
  <c r="H96" i="3"/>
  <c r="F73" i="3"/>
  <c r="H91" i="3"/>
  <c r="G64" i="3"/>
  <c r="F90" i="3"/>
  <c r="G104" i="3"/>
  <c r="F52" i="3"/>
  <c r="G84" i="3"/>
  <c r="G52" i="3"/>
  <c r="G61" i="3"/>
  <c r="H99" i="3"/>
  <c r="G71" i="3"/>
  <c r="F100" i="3"/>
  <c r="H7" i="3"/>
  <c r="F60" i="3"/>
  <c r="H73" i="3"/>
  <c r="F86" i="3"/>
  <c r="F59" i="3"/>
  <c r="G76" i="3"/>
  <c r="G56" i="3"/>
  <c r="G36" i="3"/>
  <c r="E37" i="3"/>
  <c r="G86" i="3"/>
  <c r="H47" i="3"/>
  <c r="G49" i="3"/>
  <c r="F75" i="3"/>
  <c r="G98" i="3"/>
  <c r="H32" i="3"/>
  <c r="F80" i="3"/>
  <c r="H63" i="3"/>
  <c r="F96" i="3"/>
  <c r="G100" i="3"/>
  <c r="F87" i="3"/>
  <c r="F78" i="3"/>
  <c r="G50" i="3"/>
  <c r="H80" i="9"/>
  <c r="H88" i="3"/>
  <c r="E104" i="3"/>
  <c r="G67" i="3"/>
  <c r="H56" i="3"/>
  <c r="F74" i="3"/>
  <c r="F97" i="3"/>
  <c r="G75" i="3"/>
  <c r="H50" i="3"/>
  <c r="E92" i="9"/>
  <c r="F15" i="3"/>
  <c r="H66" i="3"/>
  <c r="H76" i="3"/>
  <c r="G92" i="3"/>
  <c r="F103" i="3"/>
  <c r="F47" i="3"/>
  <c r="F99" i="3"/>
  <c r="G68" i="3"/>
  <c r="F14" i="3" l="1"/>
  <c r="G14" i="3"/>
  <c r="H14" i="3"/>
  <c r="X9" i="5" s="1"/>
  <c r="H9" i="3"/>
  <c r="X7" i="5" s="1"/>
  <c r="G9" i="3"/>
  <c r="F110" i="3"/>
  <c r="G110" i="3"/>
  <c r="H110" i="3"/>
  <c r="X31" i="5" s="1"/>
  <c r="A92" i="6"/>
  <c r="E82" i="9"/>
  <c r="E4" i="9"/>
  <c r="C40" i="3"/>
  <c r="A2" i="4"/>
  <c r="A1" i="5"/>
  <c r="H5" i="3"/>
  <c r="X5" i="5" s="1"/>
  <c r="G70" i="3"/>
  <c r="G82" i="3"/>
  <c r="F5" i="3"/>
  <c r="G5" i="3"/>
  <c r="G94" i="3"/>
  <c r="H58" i="3"/>
  <c r="X21" i="5" s="1"/>
  <c r="F106" i="3"/>
  <c r="G29" i="5" s="1"/>
  <c r="S3" i="5" s="1"/>
  <c r="A30" i="4"/>
  <c r="V3" i="5"/>
  <c r="V2" i="5" s="1"/>
  <c r="H82" i="3"/>
  <c r="X25" i="5" s="1"/>
  <c r="E5" i="3"/>
  <c r="A4" i="4" s="1"/>
  <c r="H46" i="3"/>
  <c r="X19" i="5" s="1"/>
  <c r="G46" i="3"/>
  <c r="H106" i="3"/>
  <c r="X29" i="5" s="1"/>
  <c r="G58" i="3"/>
  <c r="G106" i="3"/>
  <c r="E106" i="3"/>
  <c r="A28" i="4" s="1"/>
  <c r="H70" i="3"/>
  <c r="X23" i="5" s="1"/>
  <c r="H94" i="3"/>
  <c r="X27" i="5" s="1"/>
  <c r="E103" i="3"/>
  <c r="F40" i="3"/>
  <c r="G35" i="3"/>
  <c r="E39" i="3"/>
  <c r="E38" i="3"/>
  <c r="G40" i="3"/>
  <c r="F38" i="3"/>
  <c r="F36" i="3"/>
  <c r="F46" i="3" l="1"/>
  <c r="G19" i="5" s="1"/>
  <c r="N3" i="5" s="1"/>
  <c r="G31" i="5"/>
  <c r="T3" i="5" s="1"/>
  <c r="F70" i="3"/>
  <c r="F82" i="3"/>
  <c r="G25" i="5" s="1"/>
  <c r="Q3" i="5" s="1"/>
  <c r="F58" i="3"/>
  <c r="G21" i="5" s="1"/>
  <c r="O3" i="5" s="1"/>
  <c r="C41" i="3"/>
  <c r="G5" i="5"/>
  <c r="G3" i="5" s="1"/>
  <c r="F94" i="3"/>
  <c r="G27" i="5" s="1"/>
  <c r="R3" i="5" s="1"/>
  <c r="E97" i="3"/>
  <c r="E76" i="3"/>
  <c r="E95" i="3"/>
  <c r="E91" i="3"/>
  <c r="E63" i="3"/>
  <c r="E88" i="3"/>
  <c r="E101" i="3"/>
  <c r="E51" i="3"/>
  <c r="E75" i="3"/>
  <c r="E62" i="3"/>
  <c r="E67" i="3"/>
  <c r="E74" i="3"/>
  <c r="E86" i="3"/>
  <c r="E55" i="3"/>
  <c r="E64" i="3"/>
  <c r="E102" i="3"/>
  <c r="E52" i="3"/>
  <c r="E49" i="3"/>
  <c r="E83" i="3"/>
  <c r="E47" i="3"/>
  <c r="E96" i="3"/>
  <c r="E73" i="3"/>
  <c r="E50" i="3"/>
  <c r="E98" i="3"/>
  <c r="E61" i="3"/>
  <c r="E99" i="3"/>
  <c r="E71" i="3"/>
  <c r="E59" i="3"/>
  <c r="E79" i="3"/>
  <c r="E87" i="3"/>
  <c r="E85" i="3"/>
  <c r="E100" i="3"/>
  <c r="E72" i="3"/>
  <c r="E41" i="3"/>
  <c r="H40" i="3"/>
  <c r="E60" i="3"/>
  <c r="F41" i="3"/>
  <c r="E48" i="3"/>
  <c r="E40" i="3"/>
  <c r="E84" i="3"/>
  <c r="A32" i="4" l="1"/>
  <c r="F9" i="3"/>
  <c r="A6" i="4"/>
  <c r="G23" i="5"/>
  <c r="P3" i="5" s="1"/>
  <c r="E70" i="3"/>
  <c r="A22" i="4" s="1"/>
  <c r="E82" i="3"/>
  <c r="A24" i="4" s="1"/>
  <c r="E46" i="3"/>
  <c r="A18" i="4" s="1"/>
  <c r="E58" i="3"/>
  <c r="A20" i="4" s="1"/>
  <c r="C42" i="3"/>
  <c r="E94" i="3"/>
  <c r="A26" i="4" s="1"/>
  <c r="G42" i="3"/>
  <c r="G41" i="3"/>
  <c r="H41" i="3"/>
  <c r="G9" i="5" l="1"/>
  <c r="I3" i="5" s="1"/>
  <c r="G7" i="5"/>
  <c r="H3" i="5" s="1"/>
  <c r="C43" i="3"/>
  <c r="E42" i="3"/>
  <c r="F43" i="3"/>
  <c r="E43" i="3"/>
  <c r="F42" i="3"/>
  <c r="H43" i="3"/>
  <c r="H42" i="3"/>
  <c r="E14" i="3" l="1"/>
  <c r="F31" i="3"/>
  <c r="E31" i="3"/>
  <c r="A16" i="4" s="1"/>
  <c r="H31" i="3"/>
  <c r="X17" i="5" s="1"/>
  <c r="G43" i="3"/>
  <c r="A8" i="4" l="1"/>
  <c r="G33" i="5"/>
  <c r="U3" i="5" s="1"/>
  <c r="G31" i="3"/>
  <c r="G17" i="5"/>
  <c r="M3" i="5" s="1"/>
  <c r="E4" i="3" l="1"/>
  <c r="A1" i="4" s="1"/>
</calcChain>
</file>

<file path=xl/sharedStrings.xml><?xml version="1.0" encoding="utf-8"?>
<sst xmlns="http://schemas.openxmlformats.org/spreadsheetml/2006/main" count="1565" uniqueCount="262">
  <si>
    <t>Languages</t>
  </si>
  <si>
    <t>En</t>
  </si>
  <si>
    <t>Pt</t>
  </si>
  <si>
    <t>Model Type</t>
  </si>
  <si>
    <t>Modelo</t>
  </si>
  <si>
    <t>English</t>
  </si>
  <si>
    <t>Português</t>
  </si>
  <si>
    <t>Not installed</t>
  </si>
  <si>
    <t>Não instalado</t>
  </si>
  <si>
    <t>Firmware Version</t>
  </si>
  <si>
    <t>Hardware Design Suffix</t>
  </si>
  <si>
    <t>Issue</t>
  </si>
  <si>
    <t>Language Selection</t>
  </si>
  <si>
    <t>Seleção de idioma</t>
  </si>
  <si>
    <t xml:space="preserve">Our policy is one of continuous development. Accordingly the design of our products may change at any time. </t>
  </si>
  <si>
    <t>Nossa política é de desenvolvimento contínuo. Portanto o projeto de nossos produtos pode mudar a qualquer momento.</t>
  </si>
  <si>
    <t>Whilst every effort is made to produce up to date literature, this document should only be regarded as a guide and is intended for information purposes only.</t>
  </si>
  <si>
    <t xml:space="preserve">Embora sejam demandados esforços para manter a documentação atualizada, este documento deve ser visto como um guia e destina-se apenas para fins informativos. </t>
  </si>
  <si>
    <t>Its contents do not constitute an offer for sale or advice on the application of any product referred to in it. We cannot be held responsible for any reliance on any decisions taken on its contents without specific advice.</t>
  </si>
  <si>
    <t>Seu conteúdo não constitui uma proposta para venda ou recomendação sobre a aplicação de qualquer produto nele mencionado. Nós não podemos ser responsabilizados por quaisquer consequências em decisões tomadas sobre o seu conteúdo, sem recomendações específicas.</t>
  </si>
  <si>
    <t>Information required with Order</t>
  </si>
  <si>
    <t>Informações requeridas para o pedido</t>
  </si>
  <si>
    <t>Variants</t>
  </si>
  <si>
    <t>Variantes</t>
  </si>
  <si>
    <t>Order Number</t>
  </si>
  <si>
    <t>A</t>
  </si>
  <si>
    <t>B</t>
  </si>
  <si>
    <t>X</t>
  </si>
  <si>
    <t>C</t>
  </si>
  <si>
    <t>D</t>
  </si>
  <si>
    <t>Base date</t>
  </si>
  <si>
    <t>Date Drivers start reference</t>
  </si>
  <si>
    <t>Date Drivers finish reference</t>
  </si>
  <si>
    <t>Pos</t>
  </si>
  <si>
    <t>Description</t>
  </si>
  <si>
    <t>Option</t>
  </si>
  <si>
    <t>Option Des</t>
  </si>
  <si>
    <t>Avail.</t>
  </si>
  <si>
    <t>Y</t>
  </si>
  <si>
    <t>E</t>
  </si>
  <si>
    <t>F</t>
  </si>
  <si>
    <t>H</t>
  </si>
  <si>
    <t>Cost</t>
  </si>
  <si>
    <t>Power Supply 1</t>
  </si>
  <si>
    <t>Fonte de Alimentação 1</t>
  </si>
  <si>
    <t>Power Supply 2</t>
  </si>
  <si>
    <t>Fonte de Alimentação 2</t>
  </si>
  <si>
    <t>Interface Module 1</t>
  </si>
  <si>
    <t>Módulo de Interface 1</t>
  </si>
  <si>
    <t>Interface Module 2</t>
  </si>
  <si>
    <t>Interface Module 3</t>
  </si>
  <si>
    <t>Interface Module 4</t>
  </si>
  <si>
    <t>Interface Module 5</t>
  </si>
  <si>
    <t>Módulo de Interface 2</t>
  </si>
  <si>
    <t>Módulo de Interface 3</t>
  </si>
  <si>
    <t>Módulo de Interface 4</t>
  </si>
  <si>
    <t>Módulo de Interface 5</t>
  </si>
  <si>
    <t>Four slots for SFP transceivers</t>
  </si>
  <si>
    <t>Four RJ45 copper 10/100BASE-TX</t>
  </si>
  <si>
    <t>Mounting Options</t>
  </si>
  <si>
    <t>Opção de Montagem</t>
  </si>
  <si>
    <t>P</t>
  </si>
  <si>
    <t/>
  </si>
  <si>
    <t>Standard hardware release</t>
  </si>
  <si>
    <t>Montagem em rack 19" /  Montagem posterior</t>
  </si>
  <si>
    <t>19” Rack Mount / Rear Mount</t>
  </si>
  <si>
    <t>24-48 Vdc</t>
  </si>
  <si>
    <t>24-48 Vcc</t>
  </si>
  <si>
    <t>Chassis</t>
  </si>
  <si>
    <t>Base date:</t>
  </si>
  <si>
    <t>Key date:</t>
  </si>
  <si>
    <t>CORTEC</t>
  </si>
  <si>
    <t>Versão de Firmware</t>
  </si>
  <si>
    <t>Sufixo Designador do Hardware</t>
  </si>
  <si>
    <t>Versão de hardware padrão</t>
  </si>
  <si>
    <t>Informações requeridas para o pedido:</t>
  </si>
  <si>
    <t>Interface Module 6</t>
  </si>
  <si>
    <t>Módulo de Interface 6</t>
  </si>
  <si>
    <t>Four 1 Gbps RJ45 copper 10/100BASE-TX/1000BASE-T Ethernet ports</t>
  </si>
  <si>
    <t>J</t>
  </si>
  <si>
    <t>K</t>
  </si>
  <si>
    <t>L</t>
  </si>
  <si>
    <t>M</t>
  </si>
  <si>
    <t>I</t>
  </si>
  <si>
    <t>Latest available firmware</t>
  </si>
  <si>
    <t>Última versão disponível</t>
  </si>
  <si>
    <t>Firmware version number</t>
  </si>
  <si>
    <t>Número da versão do firmware</t>
  </si>
  <si>
    <t>SFP1GCU01K</t>
  </si>
  <si>
    <t>SFP Transceiver 10/100/1000Mbps, RJ45 connector</t>
  </si>
  <si>
    <t>SFP1GFO40K</t>
  </si>
  <si>
    <t>SFP1GFO80K</t>
  </si>
  <si>
    <t>SFP1GFO05K</t>
  </si>
  <si>
    <t>SFP01GFO2K</t>
  </si>
  <si>
    <t>Accessories</t>
  </si>
  <si>
    <t>Acessórios</t>
  </si>
  <si>
    <t>Code</t>
  </si>
  <si>
    <t>Código</t>
  </si>
  <si>
    <t>Descrição</t>
  </si>
  <si>
    <t>Transceptor SFP de 10/100/1000Mbps, conector elétrico RJ45</t>
  </si>
  <si>
    <t>SFP Transceiver 1000Mbps LC single mode, 1310nm wavelength, 40km</t>
  </si>
  <si>
    <t>Transceptor SFP de 1000Mbps, conector fibra monomodo LC, 1310nm, 40km</t>
  </si>
  <si>
    <t>SFP Transceiver 1000Mbps LC single mode, 1550nm wavelength, 80km</t>
  </si>
  <si>
    <t>Transceptor SFP de 1000Mbps, conector fibra monomodo LC, 1550nm, 80km</t>
  </si>
  <si>
    <t>SFP Transceiver 1000Mbps LC multi mode, 850nm wavelength, 500m</t>
  </si>
  <si>
    <t>Transceptor SFP de 1000Mbps, conector fibra multimodo LC, 850nm, 500m</t>
  </si>
  <si>
    <t>SFP Transceiver 100Mbps LC multi mode, 1310nm wavelength, 2km</t>
  </si>
  <si>
    <t>Transceptor SFP de 100Mbps, conector fibra multimodo LC, 1310nm, 2km</t>
  </si>
  <si>
    <t>SFP Transceiver 1000Mbps LC single mode, 1550nm wavelength, 120km </t>
  </si>
  <si>
    <t>Transceptor SFP de 1000Mbps, conector fibra monomodo LC, 1550nm, 120km</t>
  </si>
  <si>
    <t>SFP1GFO120K</t>
  </si>
  <si>
    <t>SFP Transceiver 1000Mbps LC single mode, 1310nm wavelength, 20km</t>
  </si>
  <si>
    <t>Transceptor SFP de 1000Mbps, conector fibra monomodo LC, 1310nm, 20km</t>
  </si>
  <si>
    <t>SFP1GFO20K</t>
  </si>
  <si>
    <t>Industrial Managed Ethernet Switch</t>
  </si>
  <si>
    <t>Switch Ethernet Gerenciável Industrial</t>
  </si>
  <si>
    <t>S20</t>
  </si>
  <si>
    <t>Up to 20 ports (4x Gigabit)</t>
  </si>
  <si>
    <t>Up to 24 Gigabit ports</t>
  </si>
  <si>
    <t>Até 20 portas (4x Gigabit)</t>
  </si>
  <si>
    <t>Até 24 portas Gigabit</t>
  </si>
  <si>
    <t>L2 functions</t>
  </si>
  <si>
    <t>L2+L3 functions</t>
  </si>
  <si>
    <t>With PTP (IEEE 1588v2) support</t>
  </si>
  <si>
    <t>Without PTP (IEEE 1588v2) support</t>
  </si>
  <si>
    <t>Com suporte a PTP (IEEE 1588v2)</t>
  </si>
  <si>
    <t>Sem suporte a PTP (IEEE 1588v2)</t>
  </si>
  <si>
    <t>Funções L2</t>
  </si>
  <si>
    <t>Funções L2+L3</t>
  </si>
  <si>
    <t>Four 1 Gbps LC-type SFP transceivers multi mode fiber 1000BASE-SX Ethernet for up to 0.5 km</t>
  </si>
  <si>
    <t>Four 1 Gbps LC-type SFP transceivers single mode fiber 1000BASE-LX Ethernet for up to 20 km</t>
  </si>
  <si>
    <t>Four 1 Gbps LC-type SFP transceivers single mode fiber 1000BASE-ZX Ethernet for up to 40 km</t>
  </si>
  <si>
    <t>Four 1 Gbps LC-type SFP transceivers single mode fiber 1000BASE-ZX Ethernet for up to 80 km</t>
  </si>
  <si>
    <t>Four 100 Mbps LC-type SFP transceivers multi mode fiber 100BASE-FX Ethernet for up to 2 km</t>
  </si>
  <si>
    <t>Two 1 Gbps RJ45 SFP transceivers 10/100BASE-TX/1000BASE-T Ethernet ports + Two 1 Gbps LC-type SFP transceivers multi mode fiber 1000BASE-SX Ethernet for up to 0.5 km</t>
  </si>
  <si>
    <t>Two 1 Gbps RJ45 SFP transceivers 10/100BASE-TX/1000BASE-T Ethernet ports + Two 100 Mbps LC-type SFP transceivers multi mode fiber 100BASE-FX Ethernet for up to 2 km</t>
  </si>
  <si>
    <t>Two 1 Gbps LC-type SFP transceivers multi mode fiber 1000BASE-SX Ethernet for up to 0.5 km + Two 100 Mbps LC-type SFP transceivers multi mode fiber 100BASE-FX Ethernet for up to 2 km</t>
  </si>
  <si>
    <t>07</t>
  </si>
  <si>
    <t>Firmware release number</t>
  </si>
  <si>
    <t>Firmware número</t>
  </si>
  <si>
    <t>Standard coating</t>
  </si>
  <si>
    <t>PCB Coating</t>
  </si>
  <si>
    <t>Revestimento PCI</t>
  </si>
  <si>
    <t>Revestimento Padrão</t>
  </si>
  <si>
    <t>S</t>
  </si>
  <si>
    <t>1-3</t>
  </si>
  <si>
    <t>4-5</t>
  </si>
  <si>
    <t>17-18</t>
  </si>
  <si>
    <t>(up to 100 Mbps)</t>
  </si>
  <si>
    <t>(até 100 Mbps)</t>
  </si>
  <si>
    <t>(até 1 Gbps)</t>
  </si>
  <si>
    <t>(up to 1 Gbps)</t>
  </si>
  <si>
    <t>Four RJ45 SFP transceivers 10/100BASE-TX Ethernet ports (Not CE marked)</t>
  </si>
  <si>
    <t>Quatro portas Ethernet 10/100BASE-TX/1000BASE-T conector elétrico RJ45</t>
  </si>
  <si>
    <t>Quatro portas Ethernet 10/100/BASE-TX conector elétrico RJ45</t>
  </si>
  <si>
    <t>Quatro transceptores SFP 1 Gbps 1000BASE-SX para até 0,5 km com conector fibra multimodo LC</t>
  </si>
  <si>
    <t>Quatro transceptores SFP 1 Gbps 1000BASE-LX para até 20 km com conector fibra monomodo LC</t>
  </si>
  <si>
    <t>Quatro transceptores SFP 1 Gbps 1000BASE-ZX para até 40 km com conector fibra monomodo LC</t>
  </si>
  <si>
    <t>Quatro transceptores SFP 1 Gbps 1000BASE-ZX para até 80 km com conector fibra monomodo LC</t>
  </si>
  <si>
    <t>Quatro transceptores SFP 100 Mbps 100BASE-FX para até 2 km com conector fibra multimodo LC</t>
  </si>
  <si>
    <t>Dois transceptores SFP 10/100BASE-TX/1000BASE-T com conector elétrico RJ45 + Dois transceptores SFP 1 Gbps 1000BASE-SX para até 0,5 km com conector fibra multimodo LC</t>
  </si>
  <si>
    <t>Dois transceptores SFP 10/100BASE-TX/1000BASE-T com conector elétrico RJ45 + Dois transceptores 100 Mbps 100BASE-FX para até 2 km com conector fibra multimodo LC</t>
  </si>
  <si>
    <t>Dois transceptores SFP 1 Gbps 1000BASE-SX para até 0,5 km com conector fibra multimodo LC + Dois transceptores 100 Mbps 100BASE-FX para até 2 km com conector fibra multimodo LC</t>
  </si>
  <si>
    <t>Quatro transceptores SFP 10/100BASE-TX com conector elétrico RJ45 (Sem certificação CE)</t>
  </si>
  <si>
    <t>Versão</t>
  </si>
  <si>
    <t>Quatro slots para transceptores SFP Ethernet</t>
  </si>
  <si>
    <t>10/100BASE-TX/1000BASE-T</t>
  </si>
  <si>
    <t>10/100BASE-TX</t>
  </si>
  <si>
    <t>Number of ports</t>
  </si>
  <si>
    <t>Número de portas</t>
  </si>
  <si>
    <t>Only available in the 24 ports model</t>
  </si>
  <si>
    <t>Disponível apenas no modelo de 24 portas</t>
  </si>
  <si>
    <t>Up to 1 Gbps in the 24 ports model / Up to 100 Mbps in the 20 ports model</t>
  </si>
  <si>
    <t>Até 1 Gbps no modelo de 24 portas / Até 100 Mbps no modelo de 20 portas</t>
  </si>
  <si>
    <t>Alternate hardware release</t>
  </si>
  <si>
    <t>Versão de hardware alternada</t>
  </si>
  <si>
    <t>BL</t>
  </si>
  <si>
    <t>Quatro transceptores SFP 1 Gbps com conector elétrico RJ45 10/100BASE-TX/1000BASE-T (Sem certificação CE)</t>
  </si>
  <si>
    <t>Four 1 Gbps RJ45 SFP transceivers Ethernet 10/100BASE-TX/1000BASE-T (Not CE marked)</t>
  </si>
  <si>
    <t>Software Functionality (Licensing)</t>
  </si>
  <si>
    <t>PTP Support (Licensing)</t>
  </si>
  <si>
    <t>Funcionalidades do Software (Licença)</t>
  </si>
  <si>
    <t>Suporte a PTP (Licença)</t>
  </si>
  <si>
    <t>Original created - Merging S2020 and S2024G cortecs / PTP support to S2020 / New L3 functionalities / Removed option X from module 1</t>
  </si>
  <si>
    <t>Criado Originalmente - Integrando cortecs S2020 e S2024G / Suporte PTP para S2020 / Novas funcionalidades L3 / Removido opção X do módulo 1</t>
  </si>
  <si>
    <t>G</t>
  </si>
  <si>
    <t>Versão de hardware alternada (Obsoleto)</t>
  </si>
  <si>
    <t>Alternate hardware release (Withdraw)</t>
  </si>
  <si>
    <t>SFP1GCU02K</t>
  </si>
  <si>
    <t>Standard Layer 2 packet switching (MAC Based)</t>
  </si>
  <si>
    <t>Advanced Layer 2 and Layer 3 packet switching (MAC Based and IP Based)</t>
  </si>
  <si>
    <t>Padrão - Layer 2 packet switching (MAC Based)</t>
  </si>
  <si>
    <t>Avançado - Layer 2 and Layer 3 packet switching (MAC Based and IP Based)</t>
  </si>
  <si>
    <t>Alternate hardware (BL) withdraw / Transceiver SFP1GCU01K replaced by SFP1GCU02K (refer to GER-4848) / Description from Software Functionality updated</t>
  </si>
  <si>
    <t>Versão de hardware alternada (BL) obsoleta / Transceptor SFP1GCU01K substituido por SFP1GCU02K (ver GER-4848) / Descrição das Funcionalidades do Software atualizada</t>
  </si>
  <si>
    <t>Transceptor SFP de 10/100/1000Mbps, conector elétrico RJ45, sem certificação CE (Obsoleto)</t>
  </si>
  <si>
    <t>SFP Transceiver 10/100/1000Mbps, RJ45 connector, not CE Market (Withdraw)</t>
  </si>
  <si>
    <t>Four 1 Gbps RJ45 SFP transceivers Ethernet 10/100BASE-TX/1000BASE-T</t>
  </si>
  <si>
    <t>Quatro transceptores SFP 1 Gbps com conector elétrico RJ45 10/100BASE-TX/1000BASE-T</t>
  </si>
  <si>
    <t>N</t>
  </si>
  <si>
    <t>Hardware B version</t>
  </si>
  <si>
    <t>Versão de hardware B</t>
  </si>
  <si>
    <t>Hardware C version</t>
  </si>
  <si>
    <t>Versão de hardware C</t>
  </si>
  <si>
    <t>PNR-1</t>
  </si>
  <si>
    <t>PulseNET Reason License (per device) - Network Management Software (NMS)</t>
  </si>
  <si>
    <t>Licença PulseNET Reason (por equipamento) - Software de Geranciamento de Rede (NMS)</t>
  </si>
  <si>
    <t>19</t>
  </si>
  <si>
    <t>125-250 Vdc / 110-240 Vac</t>
  </si>
  <si>
    <t>SFP01GFO20K</t>
  </si>
  <si>
    <t>SFP Transceiver 100Mbps LC single mode, 1310nm wavelength, 20km</t>
  </si>
  <si>
    <t>Transceptor SFP de 100Mbps, conector fibra monomodo LC, 1310nm, 20km</t>
  </si>
  <si>
    <t>Adicionado nova versão de hardware C e novo SFP 100 Mbps mono modo para 20 km</t>
  </si>
  <si>
    <t>Added new hardware version C and new SFP 100 Mbps single mode for 20 km</t>
  </si>
  <si>
    <t>125-250 Vdc / 110-240 Vac (non UL recognized)</t>
  </si>
  <si>
    <t>125-250 Vdc / 110-240 Vac (sem reconhecimento UL)</t>
  </si>
  <si>
    <t>Currently only available in the Hardware B version</t>
  </si>
  <si>
    <t>Somente disponível na versão de hardware B atualmente</t>
  </si>
  <si>
    <t>Temporarily available in the Hardware C version. If selected as Power Supply 1, the Power Supply 2 is limited to the same model or not installed.</t>
  </si>
  <si>
    <t>Disponível na versão de hardware C temporariamente. Se selecionada na Fonte de Alimentação 1, a Fonte de Alimentação 2 é limitada ao mesmo modelo ou não instalada.</t>
  </si>
  <si>
    <t>Date (DD-MM-YY)</t>
  </si>
  <si>
    <t>Data (DD-MM-AA)</t>
  </si>
  <si>
    <t>Adicionado nova versão de fonte de alimentação 4: 125-250 Vdc / 110-240 Vac (sem reconhecimento UL)</t>
  </si>
  <si>
    <t>Added new power supply option 4: 125-250 Vdc / 110-240 Vac (non UL recognized)</t>
  </si>
  <si>
    <t>SFP Transceivers</t>
  </si>
  <si>
    <t xml:space="preserve">SFP Transceiver 10/100/1000Mbps, RJ45 connector: Finisar FCLF8522P2BTL </t>
  </si>
  <si>
    <t xml:space="preserve">Transceptor SFP de 10/100/1000Mbps, conector elétrico RJ45: Finisar FCLF8522P2BTL </t>
  </si>
  <si>
    <t xml:space="preserve">SFP Transceiver 100Mbps LC multi mode, 1310nm wavelength, 2km: Gigalight GP-1303-02TD </t>
  </si>
  <si>
    <t xml:space="preserve">SFP Transceiver 10/100/1000Mbps, RJ45 connector: Avago ABCU-5731ARZ </t>
  </si>
  <si>
    <t xml:space="preserve">Transceptor SFP de 10/100/1000Mbps, conector elétrico RJ45: Avago ABCU-5731ARZ </t>
  </si>
  <si>
    <t xml:space="preserve">Transceptor SFP de 100Mbps, conector fibra multimodo LC, 1310nm, 2km: Gigalight GP-1303-02TD </t>
  </si>
  <si>
    <t>SFP Transceiver 100Mbps LC multi mode, 1310nm wavelength, 2km: Axcen AXFD-1314-0W23</t>
  </si>
  <si>
    <t>Transceptor SFP de 100Mbps, conector fibra multimodo LC, 1310nm, 2km: Axcen AXFD-1314-0W23</t>
  </si>
  <si>
    <t>SFP Transceiver 1000Mbps LC multi mode, 850nm wavelength, 500m: Gigalight GP-8524-S5TD</t>
  </si>
  <si>
    <t>Transceptor SFP de 1000Mbps, conector fibra multimodo LC, 850nm, 500m: Gigalight GP-8524-S5TD</t>
  </si>
  <si>
    <t>SFP Transceiver 1000Mbps LC multi mode, 850nm wavelength, 500m: Axcen AXGD-5854-0W13</t>
  </si>
  <si>
    <t>Transceptor SFP de 1000Mbps, conector fibra multimodo LC, 850nm, 500m: Axcen AXGD-5854-0W13</t>
  </si>
  <si>
    <t>Exclusivo para Fingrid. Detalhamento do fabricante / PN do SFP, considerando opções principal / alternada</t>
  </si>
  <si>
    <t>Fingrid exclusive release. Detailed SFP manufacturer / PNs, cosidering main and alternate options</t>
  </si>
  <si>
    <t>S20 Hardware C opção fonte de alimentação 4 (não UL) descontinuada. Consulte o avise de fim de fabricação GER-4885 e CID006537.</t>
  </si>
  <si>
    <t>S20 Hardware C Power Supply Option 4 (non-UL) discontinued. Refer to End-of-Manufacturing notice GER-4885 and CID006537.</t>
  </si>
  <si>
    <t>20</t>
  </si>
  <si>
    <t>Yes</t>
  </si>
  <si>
    <t>No</t>
  </si>
  <si>
    <t>Sim</t>
  </si>
  <si>
    <t>Não</t>
  </si>
  <si>
    <t>Reconhecimento UL/CSA</t>
  </si>
  <si>
    <t>UL/CSA Recognized</t>
  </si>
  <si>
    <t>UL/CSA recognition has been added as optional depending on order code</t>
  </si>
  <si>
    <t>Reconhecimento UL/CSA foi adicionado como opcional dependendo do código do produto</t>
  </si>
  <si>
    <t>48 Vdc</t>
  </si>
  <si>
    <t>Network Management System (NMS)</t>
  </si>
  <si>
    <t>Licença NMS para Reason S20 - uma licença por equipamento</t>
  </si>
  <si>
    <t>PulseNET NMS licensing for Reason S20 - one license per device</t>
  </si>
  <si>
    <t>Power supply rating varies depending on hardware version, please refer to manual</t>
  </si>
  <si>
    <t>Descrição da fonte varia dependendo da versão de hardware, por favor refira-se ao manual do produto</t>
  </si>
  <si>
    <t>Becoming available in Hardware C, low voltage power supply rating changed to 48Vdc. PNR-1 PulseNet license added in Accessories list. This version also reflect some SFP models end-of-life as per GER-4938 notice.</t>
  </si>
  <si>
    <t>Ficando disponível na versão de Hardware C, tensão padrão da fonte de baixa tensão alterada para 48Vdc. Licença PulseNET PNR-1 adicionada na lista de acessórios. Essa versão também reflete o fim de fornecimento de alguns modelos SFP, conforme anúncio GER-4938.</t>
  </si>
  <si>
    <t>S20 Hardware B version has been discontinued as per End-of-Manufacturing notice GER-4956.</t>
  </si>
  <si>
    <t>S20 opção Hardware B está sendo descontinuada conforme aviso de fim de fabricação GER-4956.</t>
  </si>
  <si>
    <t>UL/CSA recognition available in 125-250 Vdc / 110-240 Vac power supply only</t>
  </si>
  <si>
    <t>Reconhcimento UL/CSA disponível na fonte 125-250 Vdc / 110-240 Vac apenas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</si>
</sst>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9"/>
      <color indexed="8"/>
      <name val="Arial"/>
      <family val="2"/>
    </font>
    <font>
      <b/>
      <sz val="9"/>
      <color indexed="10"/>
      <name val="Arial"/>
      <family val="2"/>
    </font>
    <font>
      <b/>
      <sz val="9"/>
      <color indexed="8"/>
      <name val="Arial"/>
      <family val="2"/>
    </font>
    <font>
      <sz val="9"/>
      <name val="Arial"/>
      <family val="2"/>
    </font>
    <font>
      <b/>
      <sz val="14"/>
      <color indexed="8"/>
      <name val="Arial"/>
      <family val="2"/>
    </font>
    <font>
      <sz val="11"/>
      <color indexed="8"/>
      <name val="Arial"/>
      <family val="2"/>
    </font>
    <font>
      <sz val="10"/>
      <color indexed="8"/>
      <name val="Arial"/>
      <family val="2"/>
    </font>
    <font>
      <sz val="12"/>
      <color indexed="8"/>
      <name val="Arial"/>
      <family val="2"/>
    </font>
    <font>
      <sz val="14"/>
      <color indexed="8"/>
      <name val="Arial"/>
      <family val="2"/>
    </font>
    <font>
      <b/>
      <sz val="14"/>
      <color indexed="10"/>
      <name val="Arial"/>
      <family val="2"/>
    </font>
    <font>
      <b/>
      <sz val="12"/>
      <color indexed="12"/>
      <name val="Arial"/>
      <family val="2"/>
    </font>
    <font>
      <sz val="11"/>
      <color indexed="30"/>
      <name val="Arial"/>
      <family val="2"/>
    </font>
    <font>
      <sz val="10"/>
      <name val="Arial"/>
      <family val="2"/>
    </font>
    <font>
      <sz val="10"/>
      <color indexed="9"/>
      <name val="Arial"/>
      <family val="2"/>
    </font>
    <font>
      <b/>
      <sz val="10"/>
      <name val="Arial"/>
      <family val="2"/>
    </font>
    <font>
      <sz val="11"/>
      <name val="Arial"/>
      <family val="2"/>
    </font>
    <font>
      <sz val="9"/>
      <color theme="1"/>
      <name val="Arial"/>
      <family val="2"/>
    </font>
    <font>
      <sz val="11"/>
      <color theme="1"/>
      <name val="Arial"/>
      <family val="2"/>
    </font>
    <font>
      <b/>
      <sz val="16"/>
      <color rgb="FFFF0000"/>
      <name val="Arial"/>
      <family val="2"/>
    </font>
    <font>
      <b/>
      <sz val="12"/>
      <color rgb="FFFF0000"/>
      <name val="Arial"/>
      <family val="2"/>
    </font>
    <font>
      <b/>
      <sz val="11"/>
      <color theme="1"/>
      <name val="Arial"/>
      <family val="2"/>
    </font>
    <font>
      <sz val="11"/>
      <color rgb="FFFF0000"/>
      <name val="Arial"/>
      <family val="2"/>
    </font>
    <font>
      <b/>
      <sz val="10"/>
      <color theme="1"/>
      <name val="Arial"/>
      <family val="2"/>
    </font>
    <font>
      <sz val="10"/>
      <color theme="1"/>
      <name val="Arial"/>
      <family val="2"/>
    </font>
    <font>
      <b/>
      <sz val="9"/>
      <color theme="0"/>
      <name val="Arial"/>
      <family val="2"/>
    </font>
    <font>
      <b/>
      <sz val="9"/>
      <color rgb="FFFF0000"/>
      <name val="Arial"/>
      <family val="2"/>
    </font>
    <font>
      <b/>
      <sz val="9"/>
      <color theme="1"/>
      <name val="Arial"/>
      <family val="2"/>
    </font>
    <font>
      <sz val="10"/>
      <name val="GE Inspira"/>
      <family val="2"/>
    </font>
    <font>
      <sz val="11"/>
      <color theme="1"/>
      <name val="GE Inspira"/>
      <family val="2"/>
    </font>
    <font>
      <b/>
      <sz val="11"/>
      <color indexed="9"/>
      <name val="Arial"/>
      <family val="2"/>
    </font>
    <font>
      <sz val="11"/>
      <color indexed="9"/>
      <name val="Arial"/>
      <family val="2"/>
    </font>
    <font>
      <sz val="11"/>
      <color theme="0"/>
      <name val="Arial"/>
      <family val="2"/>
    </font>
    <font>
      <sz val="11"/>
      <color theme="0" tint="-0.499984740745262"/>
      <name val="Arial"/>
      <family val="2"/>
    </font>
    <font>
      <strike/>
      <sz val="9"/>
      <name val="Arial"/>
      <family val="2"/>
    </font>
    <font>
      <sz val="8"/>
      <name val="Calibri"/>
      <family val="2"/>
      <scheme val="minor"/>
    </font>
    <font>
      <b/>
      <sz val="9"/>
      <name val="Arial"/>
      <family val="2"/>
    </font>
  </fonts>
  <fills count="14">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499984740745262"/>
        <bgColor indexed="64"/>
      </patternFill>
    </fill>
    <fill>
      <patternFill patternType="solid">
        <fgColor theme="0"/>
        <bgColor indexed="64"/>
      </patternFill>
    </fill>
    <fill>
      <patternFill patternType="solid">
        <fgColor theme="4"/>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ck">
        <color indexed="64"/>
      </left>
      <right/>
      <top/>
      <bottom/>
      <diagonal/>
    </border>
    <border>
      <left style="medium">
        <color indexed="64"/>
      </left>
      <right style="thick">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style="medium">
        <color indexed="64"/>
      </right>
      <top/>
      <bottom style="thin">
        <color indexed="64"/>
      </bottom>
      <diagonal/>
    </border>
  </borders>
  <cellStyleXfs count="3">
    <xf numFmtId="0" fontId="0" fillId="0" borderId="0"/>
    <xf numFmtId="0" fontId="13" fillId="0" borderId="0"/>
    <xf numFmtId="0" fontId="16" fillId="0" borderId="0"/>
  </cellStyleXfs>
  <cellXfs count="330">
    <xf numFmtId="0" fontId="0" fillId="0" borderId="0" xfId="0"/>
    <xf numFmtId="0" fontId="17" fillId="0" borderId="0" xfId="0" applyFont="1" applyAlignment="1">
      <alignment horizontal="center" vertical="center"/>
    </xf>
    <xf numFmtId="0" fontId="17" fillId="0" borderId="0" xfId="0" applyFont="1"/>
    <xf numFmtId="0" fontId="17" fillId="0" borderId="0" xfId="0" applyFont="1" applyAlignment="1">
      <alignment horizontal="center"/>
    </xf>
    <xf numFmtId="0" fontId="17" fillId="0" borderId="0" xfId="0" applyFont="1" applyAlignment="1">
      <alignment wrapText="1"/>
    </xf>
    <xf numFmtId="0" fontId="17" fillId="6" borderId="1" xfId="0" applyFont="1" applyFill="1" applyBorder="1" applyAlignment="1">
      <alignment horizontal="center" vertical="center"/>
    </xf>
    <xf numFmtId="0" fontId="17" fillId="6" borderId="2" xfId="0" applyFont="1" applyFill="1" applyBorder="1"/>
    <xf numFmtId="0" fontId="17" fillId="6" borderId="1" xfId="0" applyFont="1" applyFill="1" applyBorder="1" applyAlignment="1">
      <alignment horizontal="center"/>
    </xf>
    <xf numFmtId="0" fontId="17" fillId="0" borderId="0" xfId="0" applyFont="1" applyBorder="1"/>
    <xf numFmtId="0" fontId="17" fillId="0" borderId="3" xfId="0" applyFont="1" applyBorder="1" applyAlignment="1">
      <alignment horizontal="center" vertical="center"/>
    </xf>
    <xf numFmtId="0" fontId="17" fillId="0" borderId="3" xfId="0" applyFont="1" applyBorder="1" applyAlignment="1">
      <alignment horizontal="center"/>
    </xf>
    <xf numFmtId="0" fontId="17" fillId="0" borderId="4" xfId="0" applyFont="1" applyBorder="1" applyAlignment="1">
      <alignment horizontal="center" vertical="center"/>
    </xf>
    <xf numFmtId="0" fontId="17" fillId="0" borderId="5" xfId="0" applyFont="1" applyBorder="1"/>
    <xf numFmtId="0" fontId="17" fillId="0" borderId="4" xfId="0" applyFont="1" applyBorder="1" applyAlignment="1">
      <alignment horizontal="center"/>
    </xf>
    <xf numFmtId="0" fontId="17" fillId="0" borderId="0" xfId="0" applyFont="1" applyAlignment="1">
      <alignment vertical="center" wrapText="1"/>
    </xf>
    <xf numFmtId="0" fontId="1" fillId="0" borderId="0" xfId="0" applyFont="1"/>
    <xf numFmtId="0" fontId="3" fillId="0" borderId="6" xfId="0" applyFont="1" applyBorder="1"/>
    <xf numFmtId="0" fontId="3" fillId="0" borderId="0" xfId="0" applyFont="1" applyBorder="1"/>
    <xf numFmtId="0" fontId="1" fillId="0" borderId="5" xfId="0" applyFont="1" applyBorder="1"/>
    <xf numFmtId="0" fontId="1" fillId="0" borderId="0" xfId="0" applyFont="1" applyAlignment="1">
      <alignment horizontal="center" vertical="center"/>
    </xf>
    <xf numFmtId="0" fontId="1" fillId="0" borderId="1" xfId="0" applyFont="1" applyBorder="1" applyAlignment="1">
      <alignment horizontal="center"/>
    </xf>
    <xf numFmtId="0" fontId="1" fillId="0" borderId="0" xfId="0" applyFont="1" applyAlignment="1">
      <alignment horizontal="center"/>
    </xf>
    <xf numFmtId="0" fontId="3" fillId="0" borderId="5" xfId="0" applyFont="1" applyBorder="1"/>
    <xf numFmtId="0" fontId="18" fillId="0" borderId="0" xfId="0" applyFont="1"/>
    <xf numFmtId="0" fontId="6" fillId="0" borderId="7" xfId="0" applyFont="1" applyBorder="1"/>
    <xf numFmtId="0" fontId="6" fillId="0" borderId="7" xfId="0" applyFont="1" applyBorder="1" applyAlignment="1">
      <alignment horizontal="center" vertical="center"/>
    </xf>
    <xf numFmtId="0" fontId="6" fillId="0" borderId="0" xfId="0" applyFont="1"/>
    <xf numFmtId="0" fontId="6" fillId="0" borderId="2" xfId="0" applyFont="1" applyBorder="1"/>
    <xf numFmtId="0" fontId="6" fillId="0" borderId="10" xfId="0" applyFont="1" applyBorder="1"/>
    <xf numFmtId="0" fontId="8" fillId="0" borderId="9" xfId="0" applyFont="1" applyBorder="1"/>
    <xf numFmtId="0" fontId="9" fillId="0" borderId="2" xfId="0" applyFont="1" applyBorder="1"/>
    <xf numFmtId="0" fontId="9" fillId="0" borderId="11" xfId="0" applyFont="1" applyBorder="1"/>
    <xf numFmtId="0" fontId="10" fillId="0" borderId="1" xfId="0" applyFont="1" applyBorder="1" applyAlignment="1">
      <alignment horizontal="center" vertical="center"/>
    </xf>
    <xf numFmtId="0" fontId="8" fillId="0" borderId="10" xfId="0" applyFont="1" applyBorder="1"/>
    <xf numFmtId="0" fontId="8" fillId="0" borderId="0" xfId="0" applyFont="1"/>
    <xf numFmtId="0" fontId="11" fillId="0" borderId="12" xfId="0" applyFont="1" applyBorder="1" applyAlignment="1">
      <alignment vertical="center"/>
    </xf>
    <xf numFmtId="0" fontId="9" fillId="0" borderId="0" xfId="0" applyFont="1" applyBorder="1"/>
    <xf numFmtId="0" fontId="5" fillId="0" borderId="0" xfId="0" applyFont="1" applyBorder="1"/>
    <xf numFmtId="0" fontId="6" fillId="7" borderId="13" xfId="0" applyFont="1" applyFill="1" applyBorder="1" applyAlignment="1">
      <alignment horizontal="center" vertical="center"/>
    </xf>
    <xf numFmtId="0" fontId="8" fillId="0" borderId="12" xfId="0" applyFont="1" applyBorder="1"/>
    <xf numFmtId="0" fontId="11" fillId="0" borderId="14" xfId="0" applyFont="1" applyBorder="1"/>
    <xf numFmtId="0" fontId="6" fillId="0" borderId="0" xfId="0" applyFont="1" applyBorder="1"/>
    <xf numFmtId="0" fontId="6" fillId="7" borderId="0" xfId="0" applyFont="1" applyFill="1" applyBorder="1" applyAlignment="1">
      <alignment horizontal="center" vertical="center"/>
    </xf>
    <xf numFmtId="0" fontId="6" fillId="0" borderId="12" xfId="0" applyFont="1" applyBorder="1"/>
    <xf numFmtId="0" fontId="12" fillId="0" borderId="0" xfId="0" applyFont="1" applyBorder="1"/>
    <xf numFmtId="0" fontId="11" fillId="0" borderId="15" xfId="0" applyFont="1" applyBorder="1" applyAlignment="1">
      <alignment vertical="center"/>
    </xf>
    <xf numFmtId="0" fontId="11" fillId="0" borderId="14" xfId="0" applyFont="1" applyBorder="1" applyAlignment="1">
      <alignment vertical="center"/>
    </xf>
    <xf numFmtId="0" fontId="6" fillId="0" borderId="6" xfId="0" applyFont="1" applyBorder="1" applyAlignment="1">
      <alignment horizontal="left" vertical="center"/>
    </xf>
    <xf numFmtId="0" fontId="6" fillId="0" borderId="6" xfId="0" applyFont="1" applyBorder="1"/>
    <xf numFmtId="0" fontId="7" fillId="0" borderId="6" xfId="0" applyFont="1" applyBorder="1"/>
    <xf numFmtId="0" fontId="7" fillId="0" borderId="0" xfId="0" applyFont="1" applyBorder="1"/>
    <xf numFmtId="0" fontId="6" fillId="0" borderId="0" xfId="0" applyFont="1" applyBorder="1" applyAlignment="1">
      <alignment horizontal="left" vertical="center"/>
    </xf>
    <xf numFmtId="0" fontId="7" fillId="0" borderId="6" xfId="0" applyFont="1" applyBorder="1" applyAlignment="1">
      <alignment vertical="center"/>
    </xf>
    <xf numFmtId="0" fontId="7" fillId="0" borderId="0" xfId="0" applyFont="1" applyBorder="1" applyAlignment="1">
      <alignment vertical="center"/>
    </xf>
    <xf numFmtId="0" fontId="11" fillId="0" borderId="17" xfId="0" applyFont="1" applyBorder="1" applyAlignment="1">
      <alignment vertical="center"/>
    </xf>
    <xf numFmtId="0" fontId="6" fillId="0" borderId="0" xfId="0" applyFont="1" applyAlignment="1">
      <alignment horizontal="center" vertical="center"/>
    </xf>
    <xf numFmtId="0" fontId="13" fillId="0" borderId="0" xfId="1" applyBorder="1"/>
    <xf numFmtId="0" fontId="13" fillId="0" borderId="0" xfId="1" applyBorder="1" applyAlignment="1">
      <alignment horizontal="center"/>
    </xf>
    <xf numFmtId="0" fontId="13" fillId="0" borderId="0" xfId="1"/>
    <xf numFmtId="0" fontId="14" fillId="2" borderId="21" xfId="1" applyFont="1" applyFill="1" applyBorder="1" applyAlignment="1">
      <alignment vertical="center"/>
    </xf>
    <xf numFmtId="0" fontId="13" fillId="0" borderId="21" xfId="1" applyFont="1" applyBorder="1"/>
    <xf numFmtId="0" fontId="13" fillId="0" borderId="6" xfId="1" applyFont="1" applyBorder="1"/>
    <xf numFmtId="0" fontId="13" fillId="0" borderId="6" xfId="1" applyFont="1" applyBorder="1" applyAlignment="1">
      <alignment horizontal="right"/>
    </xf>
    <xf numFmtId="0" fontId="13" fillId="0" borderId="1" xfId="1" quotePrefix="1" applyFont="1" applyBorder="1" applyAlignment="1">
      <alignment horizontal="center"/>
    </xf>
    <xf numFmtId="0" fontId="13" fillId="0" borderId="1" xfId="1" applyBorder="1" applyAlignment="1">
      <alignment horizontal="center"/>
    </xf>
    <xf numFmtId="0" fontId="13" fillId="0" borderId="1" xfId="1" quotePrefix="1" applyBorder="1" applyAlignment="1">
      <alignment horizontal="center"/>
    </xf>
    <xf numFmtId="0" fontId="15" fillId="0" borderId="22" xfId="1" applyFont="1" applyBorder="1"/>
    <xf numFmtId="0" fontId="13" fillId="0" borderId="6" xfId="1" applyFill="1" applyBorder="1" applyAlignment="1">
      <alignment horizontal="center"/>
    </xf>
    <xf numFmtId="0" fontId="13" fillId="0" borderId="0" xfId="1" applyFill="1" applyBorder="1" applyAlignment="1">
      <alignment horizontal="center"/>
    </xf>
    <xf numFmtId="0" fontId="13" fillId="3" borderId="0" xfId="1" applyFill="1" applyBorder="1" applyAlignment="1">
      <alignment horizontal="center"/>
    </xf>
    <xf numFmtId="0" fontId="13" fillId="4" borderId="0" xfId="1" applyFill="1" applyBorder="1" applyAlignment="1">
      <alignment horizontal="center"/>
    </xf>
    <xf numFmtId="0" fontId="13" fillId="8" borderId="0" xfId="1" applyFill="1" applyBorder="1" applyAlignment="1">
      <alignment horizontal="center"/>
    </xf>
    <xf numFmtId="0" fontId="13" fillId="0" borderId="22" xfId="1" applyFont="1" applyBorder="1"/>
    <xf numFmtId="0" fontId="13" fillId="0" borderId="0" xfId="1" applyFont="1" applyBorder="1"/>
    <xf numFmtId="0" fontId="13" fillId="0" borderId="1" xfId="1" applyFont="1" applyBorder="1" applyAlignment="1">
      <alignment horizontal="center"/>
    </xf>
    <xf numFmtId="0" fontId="13" fillId="0" borderId="0" xfId="1" applyFont="1"/>
    <xf numFmtId="0" fontId="13" fillId="0" borderId="0" xfId="1" applyFont="1" applyBorder="1" applyAlignment="1">
      <alignment horizontal="center"/>
    </xf>
    <xf numFmtId="0" fontId="15" fillId="0" borderId="21" xfId="1" applyFont="1" applyBorder="1"/>
    <xf numFmtId="0" fontId="13" fillId="0" borderId="6" xfId="1" applyFont="1" applyBorder="1" applyAlignment="1">
      <alignment horizontal="center"/>
    </xf>
    <xf numFmtId="0" fontId="13" fillId="0" borderId="1" xfId="1" applyFont="1" applyFill="1" applyBorder="1" applyAlignment="1">
      <alignment horizontal="center"/>
    </xf>
    <xf numFmtId="0" fontId="13" fillId="0" borderId="23" xfId="1" applyFont="1" applyBorder="1"/>
    <xf numFmtId="0" fontId="13" fillId="0" borderId="0" xfId="1" applyAlignment="1">
      <alignment horizontal="center"/>
    </xf>
    <xf numFmtId="0" fontId="16" fillId="0" borderId="0" xfId="2"/>
    <xf numFmtId="0" fontId="16" fillId="0" borderId="12" xfId="2" applyBorder="1"/>
    <xf numFmtId="0" fontId="16" fillId="0" borderId="0" xfId="2" applyBorder="1"/>
    <xf numFmtId="0" fontId="16" fillId="0" borderId="10" xfId="2" applyBorder="1"/>
    <xf numFmtId="0" fontId="16" fillId="0" borderId="18" xfId="2" applyBorder="1"/>
    <xf numFmtId="0" fontId="16" fillId="0" borderId="19" xfId="2" applyBorder="1"/>
    <xf numFmtId="0" fontId="16" fillId="0" borderId="20" xfId="2" applyBorder="1"/>
    <xf numFmtId="4" fontId="1" fillId="0" borderId="0" xfId="0" applyNumberFormat="1" applyFont="1" applyAlignment="1">
      <alignment horizontal="center"/>
    </xf>
    <xf numFmtId="0" fontId="5" fillId="0" borderId="24" xfId="0" applyFont="1" applyBorder="1" applyAlignment="1">
      <alignment vertical="center"/>
    </xf>
    <xf numFmtId="4" fontId="6" fillId="0" borderId="0" xfId="0" applyNumberFormat="1" applyFont="1" applyAlignment="1">
      <alignment vertical="center"/>
    </xf>
    <xf numFmtId="0" fontId="19" fillId="0" borderId="0" xfId="0" applyFont="1" applyAlignment="1">
      <alignment vertical="center"/>
    </xf>
    <xf numFmtId="4" fontId="1" fillId="0" borderId="0" xfId="0" applyNumberFormat="1" applyFont="1" applyBorder="1" applyAlignment="1">
      <alignment vertical="center"/>
    </xf>
    <xf numFmtId="0" fontId="6" fillId="9" borderId="13" xfId="0" applyFont="1" applyFill="1" applyBorder="1" applyAlignment="1">
      <alignment horizontal="center" vertical="center"/>
    </xf>
    <xf numFmtId="0" fontId="6" fillId="8" borderId="13"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25" xfId="0" applyFont="1" applyFill="1" applyBorder="1" applyAlignment="1">
      <alignment horizontal="center" vertical="center"/>
    </xf>
    <xf numFmtId="0" fontId="6" fillId="9" borderId="5" xfId="0" applyFont="1" applyFill="1" applyBorder="1" applyAlignment="1">
      <alignment horizontal="center" vertical="center"/>
    </xf>
    <xf numFmtId="0" fontId="6" fillId="7" borderId="25"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23" xfId="0" applyFont="1" applyFill="1" applyBorder="1" applyAlignment="1">
      <alignment horizontal="center" vertical="center"/>
    </xf>
    <xf numFmtId="0" fontId="6" fillId="7" borderId="5" xfId="0" applyFont="1" applyFill="1" applyBorder="1" applyAlignment="1">
      <alignment horizontal="center" vertical="center"/>
    </xf>
    <xf numFmtId="0" fontId="6" fillId="8" borderId="5" xfId="0" applyFont="1" applyFill="1" applyBorder="1" applyAlignment="1">
      <alignment horizontal="center" vertical="center"/>
    </xf>
    <xf numFmtId="0" fontId="10" fillId="0" borderId="1" xfId="0" applyFont="1" applyFill="1" applyBorder="1" applyAlignment="1">
      <alignment horizontal="center" vertical="center"/>
    </xf>
    <xf numFmtId="0" fontId="6" fillId="8" borderId="16" xfId="0" applyFont="1" applyFill="1" applyBorder="1" applyAlignment="1">
      <alignment horizontal="center" vertical="center"/>
    </xf>
    <xf numFmtId="0" fontId="13" fillId="0" borderId="5" xfId="1" applyBorder="1"/>
    <xf numFmtId="0" fontId="13" fillId="0" borderId="5" xfId="1" applyBorder="1" applyAlignment="1">
      <alignment horizontal="center"/>
    </xf>
    <xf numFmtId="0" fontId="13" fillId="0" borderId="2" xfId="1" applyBorder="1" applyAlignment="1">
      <alignment horizontal="center"/>
    </xf>
    <xf numFmtId="0" fontId="4" fillId="0" borderId="0" xfId="0" applyNumberFormat="1" applyFont="1" applyBorder="1" applyAlignment="1">
      <alignment horizontal="center" vertical="center"/>
    </xf>
    <xf numFmtId="0" fontId="10" fillId="0" borderId="26" xfId="0" applyFont="1" applyBorder="1" applyAlignment="1">
      <alignment horizontal="center" vertical="center"/>
    </xf>
    <xf numFmtId="0" fontId="6" fillId="7" borderId="5" xfId="0" quotePrefix="1" applyFont="1" applyFill="1" applyBorder="1" applyAlignment="1">
      <alignment horizontal="center" vertical="center"/>
    </xf>
    <xf numFmtId="0" fontId="6" fillId="7" borderId="0" xfId="0" quotePrefix="1" applyFont="1" applyFill="1" applyBorder="1" applyAlignment="1">
      <alignment horizontal="center" vertical="center"/>
    </xf>
    <xf numFmtId="0" fontId="6" fillId="7" borderId="16" xfId="0" quotePrefix="1" applyFont="1" applyFill="1" applyBorder="1" applyAlignment="1">
      <alignment horizontal="center" vertical="center"/>
    </xf>
    <xf numFmtId="0" fontId="6" fillId="7" borderId="13" xfId="0" quotePrefix="1" applyFont="1" applyFill="1" applyBorder="1" applyAlignment="1">
      <alignment horizontal="center" vertical="center"/>
    </xf>
    <xf numFmtId="0" fontId="6" fillId="7" borderId="25" xfId="0" quotePrefix="1" applyFont="1" applyFill="1" applyBorder="1" applyAlignment="1">
      <alignment horizontal="center" vertical="center"/>
    </xf>
    <xf numFmtId="0" fontId="13" fillId="0" borderId="6" xfId="1" applyBorder="1"/>
    <xf numFmtId="0" fontId="13" fillId="0" borderId="6" xfId="1" applyBorder="1" applyAlignment="1">
      <alignment horizontal="center"/>
    </xf>
    <xf numFmtId="0" fontId="14" fillId="2" borderId="6" xfId="1" applyFont="1" applyFill="1" applyBorder="1" applyAlignment="1">
      <alignment horizontal="centerContinuous" vertical="center"/>
    </xf>
    <xf numFmtId="0" fontId="20" fillId="0" borderId="24" xfId="0" applyFont="1" applyBorder="1" applyAlignment="1">
      <alignment vertical="center"/>
    </xf>
    <xf numFmtId="0" fontId="18" fillId="0" borderId="7" xfId="0" applyFont="1" applyBorder="1" applyAlignment="1">
      <alignment vertical="center"/>
    </xf>
    <xf numFmtId="0" fontId="21" fillId="0" borderId="12" xfId="0" applyFont="1" applyBorder="1" applyAlignment="1">
      <alignment vertical="center"/>
    </xf>
    <xf numFmtId="0" fontId="18" fillId="0" borderId="0" xfId="0" applyFont="1" applyBorder="1" applyAlignment="1">
      <alignment vertical="center"/>
    </xf>
    <xf numFmtId="0" fontId="22" fillId="0" borderId="12" xfId="0" applyFont="1" applyBorder="1" applyAlignment="1">
      <alignment vertical="center"/>
    </xf>
    <xf numFmtId="0" fontId="18" fillId="0" borderId="18" xfId="0" applyFont="1" applyBorder="1" applyAlignment="1">
      <alignment vertical="center"/>
    </xf>
    <xf numFmtId="0" fontId="18" fillId="0" borderId="24" xfId="0" applyFont="1" applyBorder="1" applyAlignment="1">
      <alignment vertical="center"/>
    </xf>
    <xf numFmtId="0" fontId="18" fillId="0" borderId="12" xfId="0" applyFont="1" applyBorder="1" applyAlignment="1">
      <alignment vertical="center"/>
    </xf>
    <xf numFmtId="0" fontId="18" fillId="0" borderId="0" xfId="0" applyFont="1" applyAlignment="1">
      <alignment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23" fillId="0" borderId="1" xfId="0" applyFont="1" applyBorder="1" applyAlignment="1">
      <alignment horizontal="center" vertical="center"/>
    </xf>
    <xf numFmtId="0" fontId="24" fillId="0" borderId="19" xfId="0" applyFont="1" applyBorder="1" applyAlignment="1">
      <alignment horizontal="center" vertical="center"/>
    </xf>
    <xf numFmtId="0" fontId="24" fillId="0" borderId="19" xfId="0" applyFont="1" applyBorder="1" applyAlignment="1">
      <alignment vertical="center"/>
    </xf>
    <xf numFmtId="0" fontId="24" fillId="0" borderId="20" xfId="0" applyFont="1" applyBorder="1" applyAlignment="1">
      <alignment horizontal="center" vertical="center"/>
    </xf>
    <xf numFmtId="4" fontId="3" fillId="0" borderId="29" xfId="0" applyNumberFormat="1" applyFont="1" applyBorder="1" applyAlignment="1">
      <alignment horizontal="center" vertical="center" wrapText="1"/>
    </xf>
    <xf numFmtId="0" fontId="6" fillId="0" borderId="30" xfId="0" applyFont="1" applyBorder="1"/>
    <xf numFmtId="4" fontId="3" fillId="0" borderId="7" xfId="0" applyNumberFormat="1" applyFont="1" applyBorder="1" applyAlignment="1">
      <alignment horizontal="center" vertical="center" wrapText="1"/>
    </xf>
    <xf numFmtId="4" fontId="1" fillId="0" borderId="12" xfId="0" applyNumberFormat="1" applyFont="1" applyBorder="1" applyAlignment="1">
      <alignment vertical="center"/>
    </xf>
    <xf numFmtId="0" fontId="1" fillId="0" borderId="27" xfId="0" applyFont="1" applyBorder="1" applyAlignment="1">
      <alignment horizontal="center"/>
    </xf>
    <xf numFmtId="0" fontId="1" fillId="0" borderId="11" xfId="0" applyFont="1" applyBorder="1" applyAlignment="1">
      <alignment horizontal="right"/>
    </xf>
    <xf numFmtId="14" fontId="2" fillId="0" borderId="11" xfId="0" applyNumberFormat="1" applyFont="1" applyBorder="1" applyAlignment="1">
      <alignment horizontal="centerContinuous" vertical="center"/>
    </xf>
    <xf numFmtId="14" fontId="1" fillId="0" borderId="1" xfId="0" applyNumberFormat="1" applyFont="1" applyBorder="1" applyAlignment="1">
      <alignment horizontal="centerContinuous" vertical="center"/>
    </xf>
    <xf numFmtId="14" fontId="1" fillId="0" borderId="11" xfId="0" applyNumberFormat="1" applyFont="1" applyBorder="1" applyAlignment="1">
      <alignment horizontal="centerContinuous" vertical="center"/>
    </xf>
    <xf numFmtId="0" fontId="25" fillId="10" borderId="23" xfId="0" applyFont="1" applyFill="1" applyBorder="1" applyAlignment="1">
      <alignment horizontal="center"/>
    </xf>
    <xf numFmtId="0" fontId="25" fillId="10" borderId="4" xfId="0" applyFont="1" applyFill="1" applyBorder="1" applyAlignment="1">
      <alignment horizontal="center"/>
    </xf>
    <xf numFmtId="14" fontId="25" fillId="10" borderId="13" xfId="0" applyNumberFormat="1" applyFont="1" applyFill="1" applyBorder="1" applyAlignment="1">
      <alignment horizontal="center" vertical="center"/>
    </xf>
    <xf numFmtId="14" fontId="25" fillId="10" borderId="0" xfId="0" applyNumberFormat="1" applyFont="1" applyFill="1" applyBorder="1" applyAlignment="1">
      <alignment horizontal="center" vertical="center"/>
    </xf>
    <xf numFmtId="0" fontId="3" fillId="0" borderId="1" xfId="0" applyFont="1" applyBorder="1"/>
    <xf numFmtId="0" fontId="1" fillId="0" borderId="11" xfId="0" applyFont="1" applyBorder="1" applyAlignment="1" applyProtection="1">
      <alignment horizontal="center" vertical="center"/>
      <protection locked="0"/>
    </xf>
    <xf numFmtId="0" fontId="1" fillId="11" borderId="11" xfId="0" applyFont="1" applyFill="1" applyBorder="1" applyAlignment="1" applyProtection="1">
      <alignment horizontal="center" vertical="center"/>
      <protection locked="0"/>
    </xf>
    <xf numFmtId="0" fontId="1" fillId="11" borderId="2" xfId="0" applyFont="1" applyFill="1" applyBorder="1" applyAlignment="1" applyProtection="1">
      <alignment horizontal="center" vertical="center"/>
      <protection locked="0"/>
    </xf>
    <xf numFmtId="0" fontId="1" fillId="0" borderId="1" xfId="0" applyFont="1" applyBorder="1"/>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26" xfId="0" applyFont="1" applyBorder="1" applyAlignment="1">
      <alignment horizontal="center"/>
    </xf>
    <xf numFmtId="0" fontId="4" fillId="0" borderId="26" xfId="0" applyNumberFormat="1" applyFont="1" applyBorder="1" applyAlignment="1">
      <alignment horizontal="center" vertical="center"/>
    </xf>
    <xf numFmtId="0" fontId="1" fillId="0" borderId="3" xfId="0" applyFont="1" applyBorder="1" applyAlignment="1">
      <alignment horizontal="center"/>
    </xf>
    <xf numFmtId="0" fontId="4" fillId="0" borderId="3" xfId="0" applyNumberFormat="1" applyFont="1" applyBorder="1" applyAlignment="1">
      <alignment horizontal="center" vertical="center"/>
    </xf>
    <xf numFmtId="0" fontId="1" fillId="0" borderId="4" xfId="0" applyFont="1" applyBorder="1" applyAlignment="1">
      <alignment horizontal="center"/>
    </xf>
    <xf numFmtId="0" fontId="4" fillId="0" borderId="4" xfId="0" applyNumberFormat="1" applyFont="1" applyBorder="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right" vertical="center"/>
    </xf>
    <xf numFmtId="0" fontId="5" fillId="0" borderId="1" xfId="0" applyFont="1" applyBorder="1" applyAlignment="1">
      <alignment horizontal="center" vertical="center"/>
    </xf>
    <xf numFmtId="0" fontId="6" fillId="9" borderId="21" xfId="0" applyFont="1" applyFill="1" applyBorder="1" applyAlignment="1">
      <alignment horizontal="center" vertical="center"/>
    </xf>
    <xf numFmtId="0" fontId="6" fillId="8" borderId="22" xfId="0" applyFont="1" applyFill="1" applyBorder="1" applyAlignment="1">
      <alignment horizontal="center" vertical="center"/>
    </xf>
    <xf numFmtId="0" fontId="6" fillId="7" borderId="22" xfId="0" applyFont="1" applyFill="1" applyBorder="1" applyAlignment="1">
      <alignment horizontal="center" vertical="center"/>
    </xf>
    <xf numFmtId="0" fontId="6" fillId="9" borderId="22" xfId="0" applyFont="1" applyFill="1" applyBorder="1" applyAlignment="1">
      <alignment horizontal="center" vertical="center"/>
    </xf>
    <xf numFmtId="0" fontId="6" fillId="7" borderId="23" xfId="0" quotePrefix="1" applyFont="1" applyFill="1" applyBorder="1" applyAlignment="1">
      <alignment horizontal="center" vertical="center"/>
    </xf>
    <xf numFmtId="0" fontId="6" fillId="9" borderId="23" xfId="0" applyFont="1" applyFill="1" applyBorder="1" applyAlignment="1">
      <alignment horizontal="center" vertical="center"/>
    </xf>
    <xf numFmtId="0" fontId="4" fillId="0" borderId="3" xfId="0" applyNumberFormat="1" applyFont="1" applyBorder="1" applyAlignment="1">
      <alignment horizontal="center" vertical="center" wrapText="1"/>
    </xf>
    <xf numFmtId="0" fontId="2" fillId="0" borderId="0" xfId="0" applyFont="1" applyAlignment="1">
      <alignment vertical="center"/>
    </xf>
    <xf numFmtId="4" fontId="17" fillId="0" borderId="0" xfId="0" applyNumberFormat="1" applyFont="1" applyBorder="1" applyAlignment="1">
      <alignment horizontal="center" vertical="center"/>
    </xf>
    <xf numFmtId="0" fontId="17" fillId="0" borderId="0" xfId="0" applyFont="1" applyAlignment="1">
      <alignment vertical="center"/>
    </xf>
    <xf numFmtId="0" fontId="17" fillId="0" borderId="1" xfId="0" applyFont="1" applyBorder="1" applyAlignment="1">
      <alignment horizontal="left" vertical="center"/>
    </xf>
    <xf numFmtId="0" fontId="17" fillId="0" borderId="1" xfId="0" applyFont="1" applyBorder="1" applyAlignment="1">
      <alignment vertical="center"/>
    </xf>
    <xf numFmtId="0" fontId="26" fillId="0" borderId="0" xfId="0" applyFont="1" applyAlignment="1">
      <alignment vertical="center" wrapText="1"/>
    </xf>
    <xf numFmtId="0" fontId="17" fillId="0" borderId="0" xfId="0" applyFont="1" applyBorder="1" applyAlignment="1">
      <alignment horizontal="left" vertical="center"/>
    </xf>
    <xf numFmtId="0" fontId="17" fillId="0" borderId="0" xfId="0" applyFont="1" applyBorder="1" applyAlignment="1">
      <alignment vertical="center"/>
    </xf>
    <xf numFmtId="0" fontId="2" fillId="0" borderId="5" xfId="0" applyFont="1" applyBorder="1" applyAlignment="1">
      <alignment vertical="center"/>
    </xf>
    <xf numFmtId="0" fontId="17" fillId="0" borderId="0" xfId="0" applyFont="1" applyAlignment="1">
      <alignment horizontal="left" vertical="center"/>
    </xf>
    <xf numFmtId="0" fontId="17" fillId="0" borderId="1" xfId="0" applyFont="1" applyBorder="1" applyAlignment="1">
      <alignment horizontal="center" vertical="center"/>
    </xf>
    <xf numFmtId="0" fontId="27" fillId="0" borderId="27" xfId="0" applyFont="1" applyBorder="1" applyAlignment="1">
      <alignment vertical="center"/>
    </xf>
    <xf numFmtId="0" fontId="27" fillId="0" borderId="1" xfId="0" applyFont="1" applyBorder="1" applyAlignment="1">
      <alignment horizontal="center" vertical="center"/>
    </xf>
    <xf numFmtId="0" fontId="27" fillId="6" borderId="1" xfId="0" applyFont="1" applyFill="1" applyBorder="1" applyAlignment="1">
      <alignment horizontal="center" vertical="center"/>
    </xf>
    <xf numFmtId="0" fontId="27" fillId="6" borderId="1" xfId="0" applyFont="1" applyFill="1" applyBorder="1" applyAlignment="1">
      <alignment vertical="center" wrapText="1"/>
    </xf>
    <xf numFmtId="0" fontId="17" fillId="0" borderId="3" xfId="0" applyFont="1" applyBorder="1" applyAlignment="1">
      <alignment vertical="center" wrapText="1"/>
    </xf>
    <xf numFmtId="4" fontId="17" fillId="0" borderId="26" xfId="0" applyNumberFormat="1" applyFont="1" applyBorder="1" applyAlignment="1">
      <alignment horizontal="center" vertical="center"/>
    </xf>
    <xf numFmtId="4" fontId="17" fillId="0" borderId="16" xfId="0" applyNumberFormat="1" applyFont="1" applyBorder="1" applyAlignment="1">
      <alignment horizontal="center" vertical="center"/>
    </xf>
    <xf numFmtId="4" fontId="17" fillId="0" borderId="3" xfId="0" applyNumberFormat="1" applyFont="1" applyBorder="1" applyAlignment="1">
      <alignment horizontal="center" vertical="center"/>
    </xf>
    <xf numFmtId="4" fontId="17" fillId="0" borderId="13" xfId="0" applyNumberFormat="1" applyFont="1" applyBorder="1" applyAlignment="1">
      <alignment horizontal="center" vertical="center"/>
    </xf>
    <xf numFmtId="0" fontId="2" fillId="0" borderId="3" xfId="0" applyFont="1" applyBorder="1" applyAlignment="1">
      <alignment horizontal="right" vertical="center"/>
    </xf>
    <xf numFmtId="4" fontId="17" fillId="0" borderId="4" xfId="0" applyNumberFormat="1" applyFont="1" applyBorder="1" applyAlignment="1">
      <alignment horizontal="center" vertical="center"/>
    </xf>
    <xf numFmtId="4" fontId="17" fillId="0" borderId="25" xfId="0" applyNumberFormat="1" applyFont="1" applyBorder="1" applyAlignment="1">
      <alignment horizontal="center" vertical="center"/>
    </xf>
    <xf numFmtId="0" fontId="27" fillId="0" borderId="1" xfId="0" applyFont="1" applyBorder="1" applyAlignment="1">
      <alignment vertical="center"/>
    </xf>
    <xf numFmtId="0" fontId="17" fillId="0" borderId="26" xfId="0" applyFont="1" applyBorder="1" applyAlignment="1">
      <alignment horizontal="center" vertical="center"/>
    </xf>
    <xf numFmtId="0" fontId="17" fillId="0" borderId="26" xfId="0" applyFont="1" applyBorder="1" applyAlignment="1">
      <alignment vertical="center" wrapText="1"/>
    </xf>
    <xf numFmtId="0" fontId="17" fillId="0" borderId="4" xfId="0" applyFont="1" applyBorder="1" applyAlignment="1">
      <alignment vertical="center" wrapText="1"/>
    </xf>
    <xf numFmtId="0" fontId="17" fillId="0" borderId="22" xfId="0" applyFont="1" applyBorder="1" applyAlignment="1">
      <alignment horizontal="left" vertical="center"/>
    </xf>
    <xf numFmtId="0" fontId="17" fillId="0" borderId="0" xfId="0" applyFont="1" applyBorder="1" applyAlignment="1">
      <alignment vertical="center" wrapText="1"/>
    </xf>
    <xf numFmtId="0" fontId="17" fillId="0" borderId="23" xfId="0" applyFont="1" applyBorder="1" applyAlignment="1">
      <alignment horizontal="center" vertical="center"/>
    </xf>
    <xf numFmtId="0" fontId="17" fillId="0" borderId="5" xfId="0" applyFont="1" applyBorder="1" applyAlignment="1">
      <alignment vertical="center"/>
    </xf>
    <xf numFmtId="0" fontId="27" fillId="6" borderId="26" xfId="0" applyFont="1" applyFill="1" applyBorder="1" applyAlignment="1">
      <alignment horizontal="center" vertical="center"/>
    </xf>
    <xf numFmtId="4" fontId="17" fillId="0" borderId="0" xfId="0" applyNumberFormat="1" applyFont="1" applyAlignment="1">
      <alignment horizontal="center" vertical="center"/>
    </xf>
    <xf numFmtId="0" fontId="18" fillId="0" borderId="0" xfId="0" applyFont="1" applyAlignment="1"/>
    <xf numFmtId="0" fontId="17" fillId="0" borderId="0" xfId="0" applyFont="1" applyBorder="1" applyAlignment="1">
      <alignment horizontal="center" vertical="center"/>
    </xf>
    <xf numFmtId="0" fontId="17" fillId="0" borderId="22" xfId="0" applyFont="1" applyBorder="1" applyAlignment="1">
      <alignment vertical="center" wrapText="1"/>
    </xf>
    <xf numFmtId="0" fontId="27" fillId="6" borderId="1" xfId="0" applyNumberFormat="1" applyFont="1" applyFill="1" applyBorder="1" applyAlignment="1">
      <alignment horizontal="center" vertical="center"/>
    </xf>
    <xf numFmtId="0" fontId="28" fillId="0" borderId="0" xfId="1" applyFont="1"/>
    <xf numFmtId="0" fontId="29" fillId="0" borderId="0" xfId="0" applyFont="1"/>
    <xf numFmtId="0" fontId="29" fillId="0" borderId="0" xfId="0" applyFont="1" applyAlignment="1">
      <alignment vertical="center"/>
    </xf>
    <xf numFmtId="0" fontId="29" fillId="0" borderId="0" xfId="0" applyFont="1" applyAlignment="1"/>
    <xf numFmtId="0" fontId="31" fillId="13" borderId="1" xfId="1" applyFont="1" applyFill="1" applyBorder="1" applyAlignment="1">
      <alignment horizontal="center" vertical="center"/>
    </xf>
    <xf numFmtId="0" fontId="18" fillId="12" borderId="1" xfId="0" applyFont="1" applyFill="1" applyBorder="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4" fillId="0" borderId="26"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0" fontId="18" fillId="12" borderId="1" xfId="0" applyFont="1" applyFill="1" applyBorder="1" applyAlignment="1">
      <alignment horizontal="center" vertical="center"/>
    </xf>
    <xf numFmtId="0" fontId="13" fillId="0" borderId="0" xfId="1" applyBorder="1"/>
    <xf numFmtId="0" fontId="13" fillId="0" borderId="0" xfId="1" applyBorder="1" applyAlignment="1">
      <alignment horizontal="center"/>
    </xf>
    <xf numFmtId="0" fontId="13" fillId="0" borderId="0" xfId="1"/>
    <xf numFmtId="0" fontId="13" fillId="0" borderId="22" xfId="1" applyFont="1" applyBorder="1"/>
    <xf numFmtId="0" fontId="13" fillId="0" borderId="1" xfId="1" applyFont="1" applyFill="1" applyBorder="1" applyAlignment="1">
      <alignment horizontal="center"/>
    </xf>
    <xf numFmtId="49" fontId="4" fillId="0" borderId="3" xfId="0" applyNumberFormat="1" applyFont="1" applyBorder="1" applyAlignment="1">
      <alignment horizontal="center" vertical="center"/>
    </xf>
    <xf numFmtId="0" fontId="4" fillId="0" borderId="0" xfId="0" applyFont="1" applyAlignment="1">
      <alignment wrapText="1"/>
    </xf>
    <xf numFmtId="49" fontId="4" fillId="0" borderId="26" xfId="0" quotePrefix="1" applyNumberFormat="1" applyFont="1" applyBorder="1" applyAlignment="1">
      <alignment horizontal="center" vertical="center"/>
    </xf>
    <xf numFmtId="0" fontId="6" fillId="7" borderId="1" xfId="0" applyFont="1" applyFill="1" applyBorder="1" applyAlignment="1">
      <alignment horizontal="center" vertical="center"/>
    </xf>
    <xf numFmtId="0" fontId="6" fillId="9" borderId="16" xfId="0" applyFont="1" applyFill="1" applyBorder="1" applyAlignment="1">
      <alignment horizontal="center" vertical="center"/>
    </xf>
    <xf numFmtId="0" fontId="6" fillId="7" borderId="16" xfId="0" applyFont="1" applyFill="1" applyBorder="1" applyAlignment="1">
      <alignment horizontal="center" vertical="center"/>
    </xf>
    <xf numFmtId="0" fontId="6" fillId="0" borderId="9" xfId="0" quotePrefix="1" applyFont="1" applyBorder="1"/>
    <xf numFmtId="0" fontId="22" fillId="0" borderId="0" xfId="0" applyFont="1" applyBorder="1" applyAlignment="1">
      <alignment vertical="center"/>
    </xf>
    <xf numFmtId="0" fontId="13" fillId="0" borderId="0" xfId="1" applyFont="1" applyFill="1" applyBorder="1" applyAlignment="1">
      <alignment horizontal="center"/>
    </xf>
    <xf numFmtId="0" fontId="13" fillId="9" borderId="0" xfId="1" applyFill="1" applyBorder="1" applyAlignment="1">
      <alignment horizontal="center"/>
    </xf>
    <xf numFmtId="0" fontId="13" fillId="9" borderId="0" xfId="1" applyFont="1" applyFill="1" applyBorder="1" applyAlignment="1">
      <alignment horizontal="center"/>
    </xf>
    <xf numFmtId="0" fontId="13" fillId="7" borderId="0" xfId="1" applyFill="1" applyBorder="1" applyAlignment="1">
      <alignment horizontal="center"/>
    </xf>
    <xf numFmtId="0" fontId="13" fillId="7" borderId="0" xfId="1" applyFont="1" applyFill="1" applyBorder="1" applyAlignment="1">
      <alignment horizontal="center"/>
    </xf>
    <xf numFmtId="0" fontId="13" fillId="8" borderId="0" xfId="1" applyFont="1" applyFill="1" applyBorder="1" applyAlignment="1">
      <alignment horizontal="center"/>
    </xf>
    <xf numFmtId="0" fontId="13" fillId="0" borderId="6" xfId="1" applyFont="1" applyFill="1" applyBorder="1" applyAlignment="1">
      <alignment horizontal="center"/>
    </xf>
    <xf numFmtId="0" fontId="17" fillId="0" borderId="0" xfId="0" applyFont="1" applyAlignment="1">
      <alignment horizontal="left" vertical="center"/>
    </xf>
    <xf numFmtId="0" fontId="10" fillId="8" borderId="22" xfId="0" applyFont="1" applyFill="1" applyBorder="1" applyAlignment="1">
      <alignment horizontal="center" vertical="center"/>
    </xf>
    <xf numFmtId="0" fontId="4" fillId="0" borderId="21" xfId="0" applyNumberFormat="1" applyFont="1" applyBorder="1" applyAlignment="1">
      <alignment horizontal="center" vertical="center"/>
    </xf>
    <xf numFmtId="0" fontId="4" fillId="0" borderId="23"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1" fillId="0" borderId="5" xfId="0" applyFont="1" applyBorder="1" applyAlignment="1">
      <alignment horizontal="center"/>
    </xf>
    <xf numFmtId="0" fontId="4" fillId="0" borderId="5" xfId="0" applyNumberFormat="1" applyFont="1" applyBorder="1" applyAlignment="1">
      <alignment horizontal="center" vertical="center"/>
    </xf>
    <xf numFmtId="0" fontId="1" fillId="0" borderId="21" xfId="0" applyFont="1" applyBorder="1" applyAlignment="1">
      <alignment horizontal="center"/>
    </xf>
    <xf numFmtId="0" fontId="1" fillId="0" borderId="22" xfId="0" applyFont="1" applyBorder="1" applyAlignment="1">
      <alignment horizontal="center"/>
    </xf>
    <xf numFmtId="0" fontId="3" fillId="0" borderId="21" xfId="0" applyFont="1" applyBorder="1"/>
    <xf numFmtId="0" fontId="1" fillId="0" borderId="22" xfId="0" applyFont="1" applyBorder="1"/>
    <xf numFmtId="0" fontId="3" fillId="0" borderId="23" xfId="0" applyFont="1" applyBorder="1"/>
    <xf numFmtId="0" fontId="1" fillId="0" borderId="0" xfId="0" applyFont="1" applyBorder="1" applyAlignment="1">
      <alignment horizontal="center"/>
    </xf>
    <xf numFmtId="14" fontId="26" fillId="0" borderId="0" xfId="0" applyNumberFormat="1" applyFont="1" applyAlignment="1">
      <alignment horizontal="left" vertical="center" wrapText="1"/>
    </xf>
    <xf numFmtId="0" fontId="33" fillId="12" borderId="1" xfId="0" applyFont="1" applyFill="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xf>
    <xf numFmtId="0" fontId="24" fillId="0" borderId="4" xfId="0" applyFont="1" applyBorder="1" applyAlignment="1">
      <alignment horizontal="center" vertical="center"/>
    </xf>
    <xf numFmtId="0" fontId="24" fillId="0" borderId="27" xfId="0" applyFont="1" applyBorder="1" applyAlignment="1">
      <alignment vertical="center"/>
    </xf>
    <xf numFmtId="14" fontId="24" fillId="0" borderId="28" xfId="0" applyNumberFormat="1" applyFont="1" applyBorder="1" applyAlignment="1">
      <alignment horizontal="center" vertical="center"/>
    </xf>
    <xf numFmtId="0" fontId="24" fillId="0" borderId="1" xfId="0" applyFont="1" applyBorder="1" applyAlignment="1">
      <alignment horizontal="center" vertical="center"/>
    </xf>
    <xf numFmtId="14" fontId="24" fillId="0" borderId="39" xfId="0" applyNumberFormat="1" applyFont="1" applyBorder="1" applyAlignment="1">
      <alignment horizontal="center" vertical="center"/>
    </xf>
    <xf numFmtId="0" fontId="24" fillId="0" borderId="23" xfId="0" applyFont="1" applyBorder="1" applyAlignment="1">
      <alignment vertical="center"/>
    </xf>
    <xf numFmtId="0" fontId="23" fillId="0" borderId="28" xfId="0" applyFont="1" applyBorder="1" applyAlignment="1">
      <alignment vertical="center"/>
    </xf>
    <xf numFmtId="0" fontId="23" fillId="0" borderId="27" xfId="0" applyFont="1" applyBorder="1" applyAlignment="1">
      <alignment horizontal="left" vertical="center" indent="1"/>
    </xf>
    <xf numFmtId="0" fontId="18" fillId="12" borderId="4" xfId="0" applyFont="1" applyFill="1" applyBorder="1" applyAlignment="1">
      <alignment horizontal="center" vertical="center"/>
    </xf>
    <xf numFmtId="0" fontId="18" fillId="12" borderId="21" xfId="0" applyFont="1" applyFill="1" applyBorder="1" applyAlignment="1">
      <alignment horizontal="center" vertical="center"/>
    </xf>
    <xf numFmtId="0" fontId="30" fillId="0" borderId="2" xfId="1" applyFont="1" applyFill="1" applyBorder="1" applyAlignment="1">
      <alignment horizontal="center" vertical="center"/>
    </xf>
    <xf numFmtId="0" fontId="34" fillId="0" borderId="3" xfId="0" applyNumberFormat="1" applyFont="1" applyBorder="1" applyAlignment="1">
      <alignment horizontal="center" vertical="center"/>
    </xf>
    <xf numFmtId="0" fontId="6" fillId="8" borderId="3" xfId="0" applyFont="1" applyFill="1" applyBorder="1" applyAlignment="1">
      <alignment horizontal="center" vertical="center"/>
    </xf>
    <xf numFmtId="0" fontId="10" fillId="0" borderId="26" xfId="0" applyFont="1" applyFill="1" applyBorder="1" applyAlignment="1">
      <alignment horizontal="center" vertical="center"/>
    </xf>
    <xf numFmtId="0" fontId="4"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center" vertical="center"/>
    </xf>
    <xf numFmtId="0" fontId="36" fillId="6" borderId="1" xfId="0" applyFont="1" applyFill="1" applyBorder="1" applyAlignment="1">
      <alignment horizontal="center" vertical="center"/>
    </xf>
    <xf numFmtId="0" fontId="36" fillId="6" borderId="1" xfId="0" applyFont="1" applyFill="1" applyBorder="1" applyAlignment="1">
      <alignment vertical="center" wrapText="1"/>
    </xf>
    <xf numFmtId="0" fontId="36" fillId="6" borderId="26" xfId="0" applyFont="1" applyFill="1" applyBorder="1" applyAlignment="1">
      <alignment horizontal="center" vertical="center"/>
    </xf>
    <xf numFmtId="0" fontId="4" fillId="0" borderId="22" xfId="0" applyFont="1" applyBorder="1" applyAlignment="1">
      <alignment horizontal="left" vertical="center"/>
    </xf>
    <xf numFmtId="0" fontId="4" fillId="0" borderId="0" xfId="0" applyFont="1" applyBorder="1" applyAlignment="1">
      <alignment horizontal="left" vertical="center"/>
    </xf>
    <xf numFmtId="0" fontId="4" fillId="0" borderId="26" xfId="0" applyFont="1" applyBorder="1" applyAlignment="1">
      <alignment horizontal="center" vertical="center"/>
    </xf>
    <xf numFmtId="0" fontId="4" fillId="0" borderId="26" xfId="0" applyFont="1" applyBorder="1" applyAlignment="1">
      <alignment vertical="center" wrapText="1"/>
    </xf>
    <xf numFmtId="4" fontId="4" fillId="0" borderId="26" xfId="0" applyNumberFormat="1" applyFont="1" applyBorder="1" applyAlignment="1">
      <alignment horizontal="center" vertical="center"/>
    </xf>
    <xf numFmtId="4" fontId="4" fillId="0" borderId="16" xfId="0" applyNumberFormat="1" applyFont="1" applyBorder="1" applyAlignment="1">
      <alignment horizontal="center" vertical="center"/>
    </xf>
    <xf numFmtId="0" fontId="4" fillId="0" borderId="23"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center" vertical="center"/>
    </xf>
    <xf numFmtId="0" fontId="4" fillId="0" borderId="4" xfId="0" applyFont="1" applyBorder="1" applyAlignment="1">
      <alignment vertical="center" wrapText="1"/>
    </xf>
    <xf numFmtId="4" fontId="4" fillId="0" borderId="4" xfId="0" applyNumberFormat="1" applyFont="1" applyBorder="1" applyAlignment="1">
      <alignment horizontal="center" vertical="center"/>
    </xf>
    <xf numFmtId="4" fontId="4" fillId="0" borderId="25" xfId="0" applyNumberFormat="1"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vertical="center" wrapText="1"/>
    </xf>
    <xf numFmtId="4" fontId="4" fillId="0" borderId="3" xfId="0" applyNumberFormat="1"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4" fontId="4" fillId="0" borderId="0" xfId="0" applyNumberFormat="1" applyFont="1" applyAlignment="1">
      <alignment horizontal="center" vertical="center"/>
    </xf>
    <xf numFmtId="0" fontId="13" fillId="0" borderId="25" xfId="1" applyBorder="1" applyAlignment="1">
      <alignment horizontal="center"/>
    </xf>
    <xf numFmtId="0" fontId="18" fillId="12" borderId="27" xfId="0" applyFont="1" applyFill="1" applyBorder="1" applyAlignment="1">
      <alignment horizontal="center" vertical="center"/>
    </xf>
    <xf numFmtId="0" fontId="24" fillId="0" borderId="27" xfId="0" applyFont="1" applyBorder="1" applyAlignment="1">
      <alignment vertical="center" wrapText="1"/>
    </xf>
    <xf numFmtId="0" fontId="16" fillId="5" borderId="31" xfId="2" applyFill="1" applyBorder="1" applyAlignment="1">
      <alignment horizontal="center" vertical="top" wrapText="1"/>
    </xf>
    <xf numFmtId="0" fontId="16" fillId="5" borderId="32" xfId="2" applyFill="1" applyBorder="1" applyAlignment="1">
      <alignment horizontal="center" vertical="top" wrapText="1"/>
    </xf>
    <xf numFmtId="0" fontId="16" fillId="5" borderId="33" xfId="2" applyFill="1" applyBorder="1" applyAlignment="1">
      <alignment horizontal="center" vertical="top" wrapText="1"/>
    </xf>
    <xf numFmtId="0" fontId="16" fillId="5" borderId="34" xfId="2" applyFill="1" applyBorder="1" applyAlignment="1">
      <alignment horizontal="center" vertical="top" wrapText="1"/>
    </xf>
    <xf numFmtId="0" fontId="16" fillId="5" borderId="0" xfId="2" applyFill="1" applyBorder="1" applyAlignment="1">
      <alignment horizontal="center" vertical="top" wrapText="1"/>
    </xf>
    <xf numFmtId="0" fontId="16" fillId="5" borderId="35" xfId="2" applyFill="1" applyBorder="1" applyAlignment="1">
      <alignment horizontal="center" vertical="top" wrapText="1"/>
    </xf>
    <xf numFmtId="0" fontId="16" fillId="5" borderId="36" xfId="2" applyFill="1" applyBorder="1" applyAlignment="1">
      <alignment horizontal="center" vertical="top" wrapText="1"/>
    </xf>
    <xf numFmtId="0" fontId="16" fillId="5" borderId="37" xfId="2" applyFill="1" applyBorder="1" applyAlignment="1">
      <alignment horizontal="center" vertical="top" wrapText="1"/>
    </xf>
    <xf numFmtId="0" fontId="16" fillId="5" borderId="38" xfId="2" applyFill="1" applyBorder="1" applyAlignment="1">
      <alignment horizontal="center" vertical="top" wrapText="1"/>
    </xf>
    <xf numFmtId="0" fontId="11" fillId="0" borderId="2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4" fillId="2" borderId="2" xfId="1" applyFont="1" applyFill="1" applyBorder="1" applyAlignment="1">
      <alignment horizontal="center" vertical="center"/>
    </xf>
    <xf numFmtId="0" fontId="18" fillId="12" borderId="27" xfId="0" applyFont="1" applyFill="1" applyBorder="1" applyAlignment="1">
      <alignment vertical="center"/>
    </xf>
    <xf numFmtId="0" fontId="18" fillId="12" borderId="2" xfId="0" applyFont="1" applyFill="1" applyBorder="1" applyAlignment="1">
      <alignment vertical="center"/>
    </xf>
    <xf numFmtId="0" fontId="18" fillId="12" borderId="11" xfId="0" applyFont="1" applyFill="1" applyBorder="1" applyAlignment="1">
      <alignment vertical="center"/>
    </xf>
    <xf numFmtId="0" fontId="30" fillId="13" borderId="27" xfId="1" applyFont="1" applyFill="1" applyBorder="1" applyAlignment="1">
      <alignment horizontal="center" vertical="center"/>
    </xf>
    <xf numFmtId="0" fontId="30" fillId="13" borderId="2" xfId="1" applyFont="1" applyFill="1" applyBorder="1" applyAlignment="1">
      <alignment horizontal="center" vertical="center"/>
    </xf>
    <xf numFmtId="0" fontId="30" fillId="13" borderId="11" xfId="1" applyFont="1" applyFill="1" applyBorder="1" applyAlignment="1">
      <alignment horizontal="center" vertical="center"/>
    </xf>
    <xf numFmtId="0" fontId="18" fillId="12" borderId="4" xfId="0" applyFont="1" applyFill="1" applyBorder="1" applyAlignment="1">
      <alignment vertical="center"/>
    </xf>
    <xf numFmtId="0" fontId="18" fillId="12" borderId="1" xfId="0" applyFont="1" applyFill="1" applyBorder="1" applyAlignment="1">
      <alignment vertical="center"/>
    </xf>
    <xf numFmtId="0" fontId="32" fillId="13" borderId="1" xfId="0" applyFont="1" applyFill="1" applyBorder="1" applyAlignment="1">
      <alignment horizontal="center" vertical="center"/>
    </xf>
    <xf numFmtId="0" fontId="18" fillId="12" borderId="21" xfId="0" applyFont="1" applyFill="1" applyBorder="1" applyAlignment="1">
      <alignment vertical="center"/>
    </xf>
    <xf numFmtId="0" fontId="18" fillId="12" borderId="6" xfId="0" applyFont="1" applyFill="1" applyBorder="1" applyAlignment="1">
      <alignment vertical="center"/>
    </xf>
    <xf numFmtId="0" fontId="18" fillId="12" borderId="16" xfId="0" applyFont="1" applyFill="1" applyBorder="1" applyAlignment="1">
      <alignment vertical="center"/>
    </xf>
    <xf numFmtId="0" fontId="33" fillId="12" borderId="1" xfId="0" applyFont="1" applyFill="1" applyBorder="1" applyAlignment="1">
      <alignment vertical="center"/>
    </xf>
    <xf numFmtId="0" fontId="17" fillId="0" borderId="0" xfId="0" applyFont="1" applyAlignment="1">
      <alignment horizontal="left" vertical="center"/>
    </xf>
  </cellXfs>
  <cellStyles count="3">
    <cellStyle name="Normal" xfId="0" builtinId="0"/>
    <cellStyle name="Normal_P241 cortec" xfId="1" xr:uid="{00000000-0005-0000-0000-000001000000}"/>
    <cellStyle name="Normal_Templat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List" dx="16" fmlaLink="Language!$A$3" fmlaRange="Language!$B$4:$B$5" noThreeD="1" sel="1" val="0"/>
</file>

<file path=xl/ctrlProps/ctrlProp10.xml><?xml version="1.0" encoding="utf-8"?>
<formControlPr xmlns="http://schemas.microsoft.com/office/spreadsheetml/2009/9/main" objectType="List" dx="16" fmlaLink="Database_configurator!$D$106" fmlaRange="Database_configurator!$E$107" noThreeD="1" sel="1" val="0"/>
</file>

<file path=xl/ctrlProps/ctrlProp11.xml><?xml version="1.0" encoding="utf-8"?>
<formControlPr xmlns="http://schemas.microsoft.com/office/spreadsheetml/2009/9/main" objectType="List" dx="16" fmlaLink="Database_configurator!$D$94" fmlaRange="Database_configurator!$E$95:$E$104" noThreeD="1" sel="2" val="0"/>
</file>

<file path=xl/ctrlProps/ctrlProp12.xml><?xml version="1.0" encoding="utf-8"?>
<formControlPr xmlns="http://schemas.microsoft.com/office/spreadsheetml/2009/9/main" objectType="List" dx="16" fmlaLink="Database_configurator!$D$110" fmlaRange="Database_configurator!$E$111" noThreeD="1" sel="1" val="0"/>
</file>

<file path=xl/ctrlProps/ctrlProp13.xml><?xml version="1.0" encoding="utf-8"?>
<formControlPr xmlns="http://schemas.microsoft.com/office/spreadsheetml/2009/9/main" objectType="List" dx="16" fmlaLink="Database_configurator!$D$20" fmlaRange="Database_configurator!$E$21" noThreeD="1" sel="1" val="0"/>
</file>

<file path=xl/ctrlProps/ctrlProp14.xml><?xml version="1.0" encoding="utf-8"?>
<formControlPr xmlns="http://schemas.microsoft.com/office/spreadsheetml/2009/9/main" objectType="List" dx="16" fmlaLink="Database_configurator!$D$23" fmlaRange="Database_configurator!$E$24:$E$25" noThreeD="1" sel="1" val="0"/>
</file>

<file path=xl/ctrlProps/ctrlProp15.xml><?xml version="1.0" encoding="utf-8"?>
<formControlPr xmlns="http://schemas.microsoft.com/office/spreadsheetml/2009/9/main" objectType="List" dx="16" fmlaLink="Database_configurator!$D$27" fmlaRange="Database_configurator!$E$28:$E$29" noThreeD="1" sel="1" val="0"/>
</file>

<file path=xl/ctrlProps/ctrlProp16.xml><?xml version="1.0" encoding="utf-8"?>
<formControlPr xmlns="http://schemas.microsoft.com/office/spreadsheetml/2009/9/main" objectType="List" dx="16" fmlaLink="Database_configurator!$D$114" fmlaRange="Database_configurator!$E$115:$E$116" noThreeD="1" sel="1" val="0"/>
</file>

<file path=xl/ctrlProps/ctrlProp2.xml><?xml version="1.0" encoding="utf-8"?>
<formControlPr xmlns="http://schemas.microsoft.com/office/spreadsheetml/2009/9/main" objectType="List" dx="16" fmlaLink="Database_configurator!$D$9" fmlaRange="Database_configurator!$E$10:$E$11" noThreeD="1" sel="2" val="0"/>
</file>

<file path=xl/ctrlProps/ctrlProp3.xml><?xml version="1.0" encoding="utf-8"?>
<formControlPr xmlns="http://schemas.microsoft.com/office/spreadsheetml/2009/9/main" objectType="List" dx="16" fmlaLink="Database_configurator!$D$14" fmlaRange="Database_configurator!$E$15:$E$17" noThreeD="1" sel="3" val="0"/>
</file>

<file path=xl/ctrlProps/ctrlProp4.xml><?xml version="1.0" encoding="utf-8"?>
<formControlPr xmlns="http://schemas.microsoft.com/office/spreadsheetml/2009/9/main" objectType="List" dx="16" fmlaLink="Database_configurator!$D$5" fmlaRange="Database_configurator!$E$6:$E$7" noThreeD="1" sel="2" val="0"/>
</file>

<file path=xl/ctrlProps/ctrlProp5.xml><?xml version="1.0" encoding="utf-8"?>
<formControlPr xmlns="http://schemas.microsoft.com/office/spreadsheetml/2009/9/main" objectType="List" dx="16" fmlaLink="Database_configurator!$D$31" fmlaRange="Database_configurator!$E$32:$E$43" noThreeD="1" sel="1" val="0"/>
</file>

<file path=xl/ctrlProps/ctrlProp6.xml><?xml version="1.0" encoding="utf-8"?>
<formControlPr xmlns="http://schemas.microsoft.com/office/spreadsheetml/2009/9/main" objectType="List" dx="16" fmlaLink="Database_configurator!$D$46" fmlaRange="Database_configurator!$E$47:$E$56" noThreeD="1" sel="2" val="0"/>
</file>

<file path=xl/ctrlProps/ctrlProp7.xml><?xml version="1.0" encoding="utf-8"?>
<formControlPr xmlns="http://schemas.microsoft.com/office/spreadsheetml/2009/9/main" objectType="List" dx="16" fmlaLink="Database_configurator!$D$58" fmlaRange="Database_configurator!$E$59:$E$68" noThreeD="1" sel="2" val="0"/>
</file>

<file path=xl/ctrlProps/ctrlProp8.xml><?xml version="1.0" encoding="utf-8"?>
<formControlPr xmlns="http://schemas.microsoft.com/office/spreadsheetml/2009/9/main" objectType="List" dx="16" fmlaLink="Database_configurator!$D$70" fmlaRange="Database_configurator!$E$71:$E$80" noThreeD="1" sel="2" val="0"/>
</file>

<file path=xl/ctrlProps/ctrlProp9.xml><?xml version="1.0" encoding="utf-8"?>
<formControlPr xmlns="http://schemas.microsoft.com/office/spreadsheetml/2009/9/main" objectType="List" dx="16" fmlaLink="Database_configurator!$D$82" fmlaRange="Database_configurator!$E$83:$E$92"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50800</xdr:rowOff>
        </xdr:from>
        <xdr:to>
          <xdr:col>4</xdr:col>
          <xdr:colOff>0</xdr:colOff>
          <xdr:row>14</xdr:row>
          <xdr:rowOff>184150</xdr:rowOff>
        </xdr:to>
        <xdr:sp macro="" textlink="">
          <xdr:nvSpPr>
            <xdr:cNvPr id="6145" name="List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6</xdr:col>
          <xdr:colOff>0</xdr:colOff>
          <xdr:row>7</xdr:row>
          <xdr:rowOff>0</xdr:rowOff>
        </xdr:to>
        <xdr:sp macro="" textlink="">
          <xdr:nvSpPr>
            <xdr:cNvPr id="4097" name="List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6</xdr:col>
          <xdr:colOff>0</xdr:colOff>
          <xdr:row>9</xdr:row>
          <xdr:rowOff>0</xdr:rowOff>
        </xdr:to>
        <xdr:sp macro="" textlink="">
          <xdr:nvSpPr>
            <xdr:cNvPr id="4098" name="List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6</xdr:col>
          <xdr:colOff>0</xdr:colOff>
          <xdr:row>5</xdr:row>
          <xdr:rowOff>0</xdr:rowOff>
        </xdr:to>
        <xdr:sp macro="" textlink="">
          <xdr:nvSpPr>
            <xdr:cNvPr id="4099" name="List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228600</xdr:rowOff>
        </xdr:from>
        <xdr:to>
          <xdr:col>6</xdr:col>
          <xdr:colOff>0</xdr:colOff>
          <xdr:row>17</xdr:row>
          <xdr:rowOff>0</xdr:rowOff>
        </xdr:to>
        <xdr:sp macro="" textlink="">
          <xdr:nvSpPr>
            <xdr:cNvPr id="4100" name="List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18</xdr:row>
          <xdr:rowOff>0</xdr:rowOff>
        </xdr:from>
        <xdr:to>
          <xdr:col>6</xdr:col>
          <xdr:colOff>0</xdr:colOff>
          <xdr:row>19</xdr:row>
          <xdr:rowOff>0</xdr:rowOff>
        </xdr:to>
        <xdr:sp macro="" textlink="">
          <xdr:nvSpPr>
            <xdr:cNvPr id="4101" name="List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6</xdr:col>
          <xdr:colOff>0</xdr:colOff>
          <xdr:row>21</xdr:row>
          <xdr:rowOff>0</xdr:rowOff>
        </xdr:to>
        <xdr:sp macro="" textlink="">
          <xdr:nvSpPr>
            <xdr:cNvPr id="4102" name="List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6</xdr:col>
          <xdr:colOff>0</xdr:colOff>
          <xdr:row>23</xdr:row>
          <xdr:rowOff>0</xdr:rowOff>
        </xdr:to>
        <xdr:sp macro="" textlink="">
          <xdr:nvSpPr>
            <xdr:cNvPr id="4108" name="List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6</xdr:col>
          <xdr:colOff>0</xdr:colOff>
          <xdr:row>25</xdr:row>
          <xdr:rowOff>0</xdr:rowOff>
        </xdr:to>
        <xdr:sp macro="" textlink="">
          <xdr:nvSpPr>
            <xdr:cNvPr id="4119" name="List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228600</xdr:rowOff>
        </xdr:from>
        <xdr:to>
          <xdr:col>6</xdr:col>
          <xdr:colOff>0</xdr:colOff>
          <xdr:row>29</xdr:row>
          <xdr:rowOff>0</xdr:rowOff>
        </xdr:to>
        <xdr:sp macro="" textlink="">
          <xdr:nvSpPr>
            <xdr:cNvPr id="4120" name="List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6</xdr:col>
          <xdr:colOff>0</xdr:colOff>
          <xdr:row>27</xdr:row>
          <xdr:rowOff>0</xdr:rowOff>
        </xdr:to>
        <xdr:sp macro="" textlink="">
          <xdr:nvSpPr>
            <xdr:cNvPr id="4123" name="List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0</xdr:rowOff>
        </xdr:to>
        <xdr:sp macro="" textlink="">
          <xdr:nvSpPr>
            <xdr:cNvPr id="4127" name="List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228600</xdr:rowOff>
        </xdr:from>
        <xdr:to>
          <xdr:col>6</xdr:col>
          <xdr:colOff>0</xdr:colOff>
          <xdr:row>11</xdr:row>
          <xdr:rowOff>0</xdr:rowOff>
        </xdr:to>
        <xdr:sp macro="" textlink="">
          <xdr:nvSpPr>
            <xdr:cNvPr id="4129" name="List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304800</xdr:rowOff>
        </xdr:from>
        <xdr:to>
          <xdr:col>6</xdr:col>
          <xdr:colOff>0</xdr:colOff>
          <xdr:row>13</xdr:row>
          <xdr:rowOff>0</xdr:rowOff>
        </xdr:to>
        <xdr:sp macro="" textlink="">
          <xdr:nvSpPr>
            <xdr:cNvPr id="4133" name="List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304800</xdr:rowOff>
        </xdr:from>
        <xdr:to>
          <xdr:col>6</xdr:col>
          <xdr:colOff>0</xdr:colOff>
          <xdr:row>15</xdr:row>
          <xdr:rowOff>0</xdr:rowOff>
        </xdr:to>
        <xdr:sp macro="" textlink="">
          <xdr:nvSpPr>
            <xdr:cNvPr id="4134" name="List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6</xdr:col>
          <xdr:colOff>0</xdr:colOff>
          <xdr:row>33</xdr:row>
          <xdr:rowOff>0</xdr:rowOff>
        </xdr:to>
        <xdr:sp macro="" textlink="">
          <xdr:nvSpPr>
            <xdr:cNvPr id="4135" name="List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B2:J15"/>
  <sheetViews>
    <sheetView showGridLines="0" showRowColHeaders="0" tabSelected="1" workbookViewId="0">
      <selection activeCell="D35" sqref="D35"/>
    </sheetView>
  </sheetViews>
  <sheetFormatPr defaultColWidth="10.26953125" defaultRowHeight="14"/>
  <cols>
    <col min="1" max="1" width="4.1796875" style="82" customWidth="1"/>
    <col min="2" max="9" width="11.453125" style="82" customWidth="1"/>
    <col min="10" max="10" width="45.1796875" style="82" customWidth="1"/>
    <col min="11" max="16384" width="10.26953125" style="82"/>
  </cols>
  <sheetData>
    <row r="2" spans="2:10" ht="14.5" thickBot="1"/>
    <row r="3" spans="2:10" ht="15" customHeight="1" thickTop="1">
      <c r="B3" s="303" t="str">
        <f>HLOOKUP(Language!$C$3,Language!$E$1:$Z514,2,FALSE)</f>
        <v xml:space="preserve">Our policy is one of continuous development. Accordingly the design of our products may change at any time. </v>
      </c>
      <c r="C3" s="304"/>
      <c r="D3" s="304"/>
      <c r="E3" s="304"/>
      <c r="F3" s="304"/>
      <c r="G3" s="304"/>
      <c r="H3" s="304"/>
      <c r="I3" s="304"/>
      <c r="J3" s="305"/>
    </row>
    <row r="4" spans="2:10">
      <c r="B4" s="306" t="str">
        <f>HLOOKUP(Language!$C$3,Language!$E$1:$Z514,3,FALSE)</f>
        <v>Whilst every effort is made to produce up to date literature, this document should only be regarded as a guide and is intended for information purposes only.</v>
      </c>
      <c r="C4" s="307"/>
      <c r="D4" s="307"/>
      <c r="E4" s="307"/>
      <c r="F4" s="307"/>
      <c r="G4" s="307"/>
      <c r="H4" s="307"/>
      <c r="I4" s="307"/>
      <c r="J4" s="308"/>
    </row>
    <row r="5" spans="2:10">
      <c r="B5" s="306"/>
      <c r="C5" s="307"/>
      <c r="D5" s="307"/>
      <c r="E5" s="307"/>
      <c r="F5" s="307"/>
      <c r="G5" s="307"/>
      <c r="H5" s="307"/>
      <c r="I5" s="307"/>
      <c r="J5" s="308"/>
    </row>
    <row r="6" spans="2:10">
      <c r="B6" s="306" t="str">
        <f>HLOOKUP(Language!$C$3,Language!$E$1:$Z514,4,FALSE)</f>
        <v>Its contents do not constitute an offer for sale or advice on the application of any product referred to in it. We cannot be held responsible for any reliance on any decisions taken on its contents without specific advice.</v>
      </c>
      <c r="C6" s="307"/>
      <c r="D6" s="307"/>
      <c r="E6" s="307"/>
      <c r="F6" s="307"/>
      <c r="G6" s="307"/>
      <c r="H6" s="307"/>
      <c r="I6" s="307"/>
      <c r="J6" s="308"/>
    </row>
    <row r="7" spans="2:10">
      <c r="B7" s="306"/>
      <c r="C7" s="307"/>
      <c r="D7" s="307"/>
      <c r="E7" s="307"/>
      <c r="F7" s="307"/>
      <c r="G7" s="307"/>
      <c r="H7" s="307"/>
      <c r="I7" s="307"/>
      <c r="J7" s="308"/>
    </row>
    <row r="8" spans="2:10" ht="2.25" customHeight="1" thickBot="1">
      <c r="B8" s="309"/>
      <c r="C8" s="310"/>
      <c r="D8" s="310"/>
      <c r="E8" s="310"/>
      <c r="F8" s="310"/>
      <c r="G8" s="310"/>
      <c r="H8" s="310"/>
      <c r="I8" s="310"/>
      <c r="J8" s="311"/>
    </row>
    <row r="9" spans="2:10" ht="14.5" thickTop="1"/>
    <row r="10" spans="2:10" ht="14.5" thickBot="1"/>
    <row r="11" spans="2:10" ht="15.5">
      <c r="B11" s="312" t="str">
        <f>HLOOKUP(Language!$C$3,Language!$E$1:$Z514,5,FALSE)</f>
        <v>Language Selection</v>
      </c>
      <c r="C11" s="313"/>
      <c r="D11" s="314"/>
    </row>
    <row r="12" spans="2:10">
      <c r="B12" s="83"/>
      <c r="C12" s="84"/>
      <c r="D12" s="85"/>
    </row>
    <row r="13" spans="2:10">
      <c r="B13" s="83"/>
      <c r="C13" s="84"/>
      <c r="D13" s="85"/>
    </row>
    <row r="14" spans="2:10">
      <c r="B14" s="83"/>
      <c r="C14" s="84"/>
      <c r="D14" s="85"/>
    </row>
    <row r="15" spans="2:10" ht="14.5" thickBot="1">
      <c r="B15" s="86"/>
      <c r="C15" s="87"/>
      <c r="D15" s="88"/>
    </row>
  </sheetData>
  <sheetProtection algorithmName="SHA-512" hashValue="tUGPcgy9+OPeogFmgsa5GYSrp56e6w3JRqXkeA6U4rFvJdrQ9YDNSKb9BK7+RwfwxfY3m/2T1PSg41GipuFdNw==" saltValue="Rri2h4dBoHJZiHLiGI5vGg==" spinCount="100000" sheet="1" objects="1" scenarios="1"/>
  <mergeCells count="4">
    <mergeCell ref="B3:J3"/>
    <mergeCell ref="B4:J5"/>
    <mergeCell ref="B6:J8"/>
    <mergeCell ref="B11:D11"/>
  </mergeCells>
  <pageMargins left="0.511811024" right="0.511811024" top="0.78740157499999996" bottom="0.78740157499999996" header="0.31496062000000002" footer="0.31496062000000002"/>
  <drawing r:id="rId1"/>
  <legacyDrawing r:id="rId2"/>
  <mc:AlternateContent xmlns:mc="http://schemas.openxmlformats.org/markup-compatibility/2006">
    <mc:Choice Requires="x14">
      <controls>
        <mc:AlternateContent xmlns:mc="http://schemas.openxmlformats.org/markup-compatibility/2006">
          <mc:Choice Requires="x14">
            <control shapeId="6145" r:id="rId3" name="List Box 1">
              <controlPr defaultSize="0" autoLine="0" autoPict="0">
                <anchor moveWithCells="1">
                  <from>
                    <xdr:col>1</xdr:col>
                    <xdr:colOff>0</xdr:colOff>
                    <xdr:row>11</xdr:row>
                    <xdr:rowOff>50800</xdr:rowOff>
                  </from>
                  <to>
                    <xdr:col>4</xdr:col>
                    <xdr:colOff>0</xdr:colOff>
                    <xdr:row>14</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S117"/>
  <sheetViews>
    <sheetView showGridLines="0" zoomScaleNormal="100" workbookViewId="0"/>
  </sheetViews>
  <sheetFormatPr defaultColWidth="9.1796875" defaultRowHeight="12.5"/>
  <cols>
    <col min="1" max="1" width="8.1796875" style="58" customWidth="1"/>
    <col min="2" max="2" width="19" style="58" customWidth="1"/>
    <col min="3" max="3" width="108.54296875" style="58" customWidth="1"/>
    <col min="4" max="4" width="6.7265625" style="81" customWidth="1"/>
    <col min="5" max="13" width="3.26953125" style="81" customWidth="1"/>
    <col min="14" max="16" width="3.26953125" style="57" customWidth="1"/>
    <col min="17" max="17" width="5.7265625" style="81" customWidth="1"/>
    <col min="18" max="19" width="3.26953125" style="81" customWidth="1"/>
    <col min="20" max="16384" width="9.1796875" style="58"/>
  </cols>
  <sheetData>
    <row r="1" spans="1:253">
      <c r="A1" s="56" t="str">
        <f>HLOOKUP(Language!$C$3,Language!$E$1:$Z514,6,FALSE)</f>
        <v>Information required with Order</v>
      </c>
      <c r="B1" s="56"/>
      <c r="C1" s="56"/>
      <c r="D1" s="56"/>
      <c r="E1" s="56"/>
      <c r="F1" s="56"/>
      <c r="G1" s="56"/>
      <c r="H1" s="223"/>
      <c r="I1" s="223"/>
      <c r="J1" s="223"/>
      <c r="K1" s="56"/>
      <c r="L1" s="56"/>
      <c r="M1" s="56"/>
      <c r="N1" s="56"/>
      <c r="O1" s="56"/>
      <c r="P1" s="56"/>
      <c r="Q1" s="56"/>
      <c r="R1" s="223"/>
      <c r="S1" s="223"/>
    </row>
    <row r="2" spans="1:253">
      <c r="A2" s="56"/>
      <c r="B2" s="56"/>
      <c r="C2" s="56"/>
      <c r="D2" s="57"/>
      <c r="E2" s="57"/>
      <c r="F2" s="57"/>
      <c r="G2" s="57"/>
      <c r="H2" s="224"/>
      <c r="I2" s="224"/>
      <c r="J2" s="224"/>
      <c r="K2" s="57"/>
      <c r="L2" s="57"/>
      <c r="M2" s="57"/>
      <c r="Q2" s="57"/>
      <c r="R2" s="224"/>
      <c r="S2" s="224"/>
    </row>
    <row r="3" spans="1:253" ht="15" customHeight="1">
      <c r="A3" s="59" t="str">
        <f>HLOOKUP(Language!$C$3,Language!$E$1:$Z514,7,FALSE)</f>
        <v>Variants</v>
      </c>
      <c r="B3" s="315"/>
      <c r="C3" s="315"/>
      <c r="D3" s="119" t="str">
        <f>HLOOKUP(Language!$C$3,Language!$E$1:$Z514,8,FALSE)</f>
        <v>Order Number</v>
      </c>
      <c r="E3" s="119"/>
      <c r="F3" s="119"/>
      <c r="G3" s="119"/>
      <c r="H3" s="119"/>
      <c r="I3" s="119"/>
      <c r="J3" s="119"/>
      <c r="K3" s="119"/>
      <c r="L3" s="119"/>
      <c r="M3" s="119"/>
      <c r="N3" s="119"/>
      <c r="O3" s="119"/>
      <c r="P3" s="119"/>
      <c r="Q3" s="119"/>
      <c r="R3" s="119"/>
      <c r="S3" s="119"/>
    </row>
    <row r="4" spans="1:253">
      <c r="A4" s="60"/>
      <c r="B4" s="61"/>
      <c r="C4" s="62"/>
      <c r="D4" s="63" t="s">
        <v>145</v>
      </c>
      <c r="E4" s="64" t="s">
        <v>146</v>
      </c>
      <c r="F4" s="65">
        <v>6</v>
      </c>
      <c r="G4" s="63">
        <v>7</v>
      </c>
      <c r="H4" s="63">
        <v>8</v>
      </c>
      <c r="I4" s="63">
        <v>9</v>
      </c>
      <c r="J4" s="63">
        <v>10</v>
      </c>
      <c r="K4" s="64">
        <v>11</v>
      </c>
      <c r="L4" s="64">
        <v>12</v>
      </c>
      <c r="M4" s="64">
        <v>13</v>
      </c>
      <c r="N4" s="64">
        <v>14</v>
      </c>
      <c r="O4" s="64">
        <v>15</v>
      </c>
      <c r="P4" s="64">
        <v>16</v>
      </c>
      <c r="Q4" s="64" t="s">
        <v>147</v>
      </c>
      <c r="R4" s="65" t="s">
        <v>207</v>
      </c>
      <c r="S4" s="65" t="s">
        <v>241</v>
      </c>
    </row>
    <row r="5" spans="1:253" ht="13">
      <c r="A5" s="66" t="str">
        <f>Database_cortec!B2</f>
        <v>Model Type</v>
      </c>
      <c r="B5" s="56"/>
      <c r="C5" s="56"/>
      <c r="D5" s="67"/>
      <c r="E5" s="69"/>
      <c r="F5" s="237"/>
      <c r="G5" s="70"/>
      <c r="H5" s="69"/>
      <c r="I5" s="237"/>
      <c r="J5" s="70"/>
      <c r="K5" s="69"/>
      <c r="L5" s="237"/>
      <c r="M5" s="71"/>
      <c r="N5" s="69"/>
      <c r="O5" s="237"/>
      <c r="P5" s="71"/>
      <c r="Q5" s="69"/>
      <c r="R5" s="237"/>
      <c r="S5" s="71"/>
    </row>
    <row r="6" spans="1:253">
      <c r="A6" s="72" t="str">
        <f ca="1">Database_cortec!E2</f>
        <v>S20 Industrial Managed Ethernet Switch</v>
      </c>
      <c r="B6" s="73"/>
      <c r="C6" s="73"/>
      <c r="D6" s="74" t="str">
        <f>Database_cortec!E3</f>
        <v>S20</v>
      </c>
      <c r="E6" s="69"/>
      <c r="F6" s="237"/>
      <c r="G6" s="70"/>
      <c r="H6" s="69"/>
      <c r="I6" s="237"/>
      <c r="J6" s="70"/>
      <c r="K6" s="69"/>
      <c r="L6" s="237"/>
      <c r="M6" s="71"/>
      <c r="N6" s="69"/>
      <c r="O6" s="237"/>
      <c r="P6" s="71"/>
      <c r="Q6" s="69"/>
      <c r="R6" s="237"/>
      <c r="S6" s="71"/>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c r="IR6" s="75"/>
      <c r="IS6" s="75"/>
    </row>
    <row r="7" spans="1:253" s="225" customFormat="1">
      <c r="A7" s="226"/>
      <c r="B7" s="73"/>
      <c r="C7" s="73"/>
      <c r="D7" s="76"/>
      <c r="E7" s="69"/>
      <c r="F7" s="237"/>
      <c r="G7" s="70"/>
      <c r="H7" s="239"/>
      <c r="I7" s="237"/>
      <c r="J7" s="70"/>
      <c r="K7" s="69"/>
      <c r="L7" s="237"/>
      <c r="M7" s="71"/>
      <c r="N7" s="69"/>
      <c r="O7" s="237"/>
      <c r="P7" s="71"/>
      <c r="Q7" s="69"/>
      <c r="R7" s="237"/>
      <c r="S7" s="71"/>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c r="IR7" s="75"/>
      <c r="IS7" s="75"/>
    </row>
    <row r="8" spans="1:253" ht="13">
      <c r="A8" s="77" t="str">
        <f>Database_cortec!B5</f>
        <v>Number of ports</v>
      </c>
      <c r="B8" s="61"/>
      <c r="C8" s="61"/>
      <c r="D8" s="78"/>
      <c r="E8" s="69"/>
      <c r="F8" s="237"/>
      <c r="G8" s="70"/>
      <c r="H8" s="239"/>
      <c r="I8" s="237"/>
      <c r="J8" s="70"/>
      <c r="K8" s="69"/>
      <c r="L8" s="237"/>
      <c r="M8" s="71"/>
      <c r="N8" s="69"/>
      <c r="O8" s="237"/>
      <c r="P8" s="71"/>
      <c r="Q8" s="69"/>
      <c r="R8" s="237"/>
      <c r="S8" s="71"/>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5"/>
    </row>
    <row r="9" spans="1:253">
      <c r="A9" s="72" t="str">
        <f ca="1">Database_cortec!E6</f>
        <v>Up to 20 ports (4x Gigabit)</v>
      </c>
      <c r="B9" s="73"/>
      <c r="C9" s="73"/>
      <c r="D9" s="76"/>
      <c r="E9" s="79">
        <f ca="1">Database_cortec!F6</f>
        <v>20</v>
      </c>
      <c r="F9" s="237"/>
      <c r="G9" s="70"/>
      <c r="H9" s="239"/>
      <c r="I9" s="237"/>
      <c r="J9" s="70"/>
      <c r="K9" s="69"/>
      <c r="L9" s="237"/>
      <c r="M9" s="71"/>
      <c r="N9" s="69"/>
      <c r="O9" s="237"/>
      <c r="P9" s="71"/>
      <c r="Q9" s="69"/>
      <c r="R9" s="237"/>
      <c r="S9" s="71"/>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c r="IR9" s="75"/>
      <c r="IS9" s="75"/>
    </row>
    <row r="10" spans="1:253">
      <c r="A10" s="226" t="str">
        <f ca="1">Database_cortec!E7</f>
        <v>Up to 24 Gigabit ports</v>
      </c>
      <c r="B10" s="73"/>
      <c r="C10" s="73"/>
      <c r="D10" s="76"/>
      <c r="E10" s="79">
        <f ca="1">Database_cortec!F7</f>
        <v>24</v>
      </c>
      <c r="F10" s="237"/>
      <c r="G10" s="70"/>
      <c r="H10" s="239"/>
      <c r="I10" s="237"/>
      <c r="J10" s="70"/>
      <c r="K10" s="69"/>
      <c r="L10" s="237"/>
      <c r="M10" s="71"/>
      <c r="N10" s="69"/>
      <c r="O10" s="237"/>
      <c r="P10" s="71"/>
      <c r="Q10" s="69"/>
      <c r="R10" s="237"/>
      <c r="S10" s="71"/>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5"/>
    </row>
    <row r="11" spans="1:253">
      <c r="A11" s="72"/>
      <c r="B11" s="73"/>
      <c r="C11" s="73"/>
      <c r="D11" s="76"/>
      <c r="E11" s="68"/>
      <c r="F11" s="237"/>
      <c r="G11" s="70"/>
      <c r="H11" s="239"/>
      <c r="I11" s="237"/>
      <c r="J11" s="70"/>
      <c r="K11" s="69"/>
      <c r="L11" s="237"/>
      <c r="M11" s="71"/>
      <c r="N11" s="69"/>
      <c r="O11" s="237"/>
      <c r="P11" s="71"/>
      <c r="Q11" s="69"/>
      <c r="R11" s="237"/>
      <c r="S11" s="71"/>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c r="IR11" s="75"/>
      <c r="IS11" s="75"/>
    </row>
    <row r="12" spans="1:253" ht="13">
      <c r="A12" s="77" t="str">
        <f>Database_cortec!B9</f>
        <v>Power Supply 1</v>
      </c>
      <c r="B12" s="61"/>
      <c r="C12" s="61"/>
      <c r="D12" s="78"/>
      <c r="E12" s="67"/>
      <c r="F12" s="237"/>
      <c r="G12" s="70"/>
      <c r="H12" s="239"/>
      <c r="I12" s="237"/>
      <c r="J12" s="70"/>
      <c r="K12" s="69"/>
      <c r="L12" s="237"/>
      <c r="M12" s="71"/>
      <c r="N12" s="69"/>
      <c r="O12" s="237"/>
      <c r="P12" s="71"/>
      <c r="Q12" s="69"/>
      <c r="R12" s="237"/>
      <c r="S12" s="71"/>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c r="IR12" s="75"/>
      <c r="IS12" s="75"/>
    </row>
    <row r="13" spans="1:253">
      <c r="A13" s="72" t="str">
        <f ca="1">CONCATENATE(Database_cortec!E10,"**")</f>
        <v>48 Vdc**</v>
      </c>
      <c r="B13" s="73"/>
      <c r="C13" s="73"/>
      <c r="D13" s="76"/>
      <c r="E13" s="68"/>
      <c r="F13" s="79">
        <f ca="1">Database_cortec!F10</f>
        <v>1</v>
      </c>
      <c r="G13" s="70"/>
      <c r="H13" s="239"/>
      <c r="I13" s="237"/>
      <c r="J13" s="70"/>
      <c r="K13" s="69"/>
      <c r="L13" s="237"/>
      <c r="M13" s="71"/>
      <c r="N13" s="69"/>
      <c r="O13" s="237"/>
      <c r="P13" s="71"/>
      <c r="Q13" s="69"/>
      <c r="R13" s="237"/>
      <c r="S13" s="71"/>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c r="IR13" s="75"/>
      <c r="IS13" s="75"/>
    </row>
    <row r="14" spans="1:253">
      <c r="A14" s="226" t="str">
        <f ca="1">Database_cortec!E11</f>
        <v>125-250 Vdc / 110-240 Vac</v>
      </c>
      <c r="B14" s="73"/>
      <c r="C14" s="73"/>
      <c r="D14" s="76"/>
      <c r="E14" s="68"/>
      <c r="F14" s="79">
        <f ca="1">Database_cortec!F11</f>
        <v>3</v>
      </c>
      <c r="G14" s="70"/>
      <c r="H14" s="239"/>
      <c r="I14" s="237"/>
      <c r="J14" s="71"/>
      <c r="K14" s="69"/>
      <c r="L14" s="237"/>
      <c r="M14" s="71"/>
      <c r="N14" s="69"/>
      <c r="O14" s="237"/>
      <c r="P14" s="71"/>
      <c r="Q14" s="69"/>
      <c r="R14" s="237"/>
      <c r="S14" s="71"/>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row>
    <row r="15" spans="1:253">
      <c r="A15" s="72"/>
      <c r="B15" s="73"/>
      <c r="C15" s="73"/>
      <c r="D15" s="76"/>
      <c r="E15" s="68"/>
      <c r="F15" s="68"/>
      <c r="G15" s="70"/>
      <c r="H15" s="239"/>
      <c r="I15" s="237"/>
      <c r="J15" s="71"/>
      <c r="K15" s="69"/>
      <c r="L15" s="237"/>
      <c r="M15" s="71"/>
      <c r="N15" s="69"/>
      <c r="O15" s="237"/>
      <c r="P15" s="71"/>
      <c r="Q15" s="69"/>
      <c r="R15" s="237"/>
      <c r="S15" s="71"/>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c r="IR15" s="75"/>
      <c r="IS15" s="75"/>
    </row>
    <row r="16" spans="1:253" ht="13">
      <c r="A16" s="77" t="str">
        <f>Database_cortec!B14</f>
        <v>Power Supply 2</v>
      </c>
      <c r="B16" s="61"/>
      <c r="C16" s="61"/>
      <c r="D16" s="78"/>
      <c r="E16" s="67"/>
      <c r="F16" s="67"/>
      <c r="G16" s="70"/>
      <c r="H16" s="239"/>
      <c r="I16" s="237"/>
      <c r="J16" s="71"/>
      <c r="K16" s="69"/>
      <c r="L16" s="237"/>
      <c r="M16" s="71"/>
      <c r="N16" s="69"/>
      <c r="O16" s="237"/>
      <c r="P16" s="71"/>
      <c r="Q16" s="69"/>
      <c r="R16" s="237"/>
      <c r="S16" s="71"/>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row>
    <row r="17" spans="1:253">
      <c r="A17" s="72" t="str">
        <f ca="1">CONCATENATE(Database_cortec!E15,"**")</f>
        <v>48 Vdc**</v>
      </c>
      <c r="B17" s="73"/>
      <c r="C17" s="73"/>
      <c r="D17" s="76"/>
      <c r="E17" s="68"/>
      <c r="F17" s="68"/>
      <c r="G17" s="79">
        <f ca="1">Database_cortec!F15</f>
        <v>1</v>
      </c>
      <c r="H17" s="240"/>
      <c r="I17" s="238"/>
      <c r="J17" s="241"/>
      <c r="K17" s="69"/>
      <c r="L17" s="237"/>
      <c r="M17" s="71"/>
      <c r="N17" s="69"/>
      <c r="O17" s="237"/>
      <c r="P17" s="71"/>
      <c r="Q17" s="69"/>
      <c r="R17" s="237"/>
      <c r="S17" s="71"/>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c r="IR17" s="75"/>
      <c r="IS17" s="75"/>
    </row>
    <row r="18" spans="1:253" s="225" customFormat="1">
      <c r="A18" s="226" t="str">
        <f ca="1">Database_cortec!E16</f>
        <v>125-250 Vdc / 110-240 Vac</v>
      </c>
      <c r="B18" s="73"/>
      <c r="C18" s="73"/>
      <c r="D18" s="76"/>
      <c r="E18" s="68"/>
      <c r="F18" s="68"/>
      <c r="G18" s="227">
        <f ca="1">Database_cortec!F16</f>
        <v>3</v>
      </c>
      <c r="H18" s="240"/>
      <c r="I18" s="238"/>
      <c r="J18" s="241"/>
      <c r="K18" s="69"/>
      <c r="L18" s="237"/>
      <c r="M18" s="71"/>
      <c r="N18" s="69"/>
      <c r="O18" s="237"/>
      <c r="P18" s="71"/>
      <c r="Q18" s="69"/>
      <c r="R18" s="237"/>
      <c r="S18" s="71"/>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c r="IR18" s="75"/>
      <c r="IS18" s="75"/>
    </row>
    <row r="19" spans="1:253" s="225" customFormat="1">
      <c r="A19" s="226" t="str">
        <f ca="1">Database_cortec!E17</f>
        <v>Not installed</v>
      </c>
      <c r="B19" s="73"/>
      <c r="C19" s="73"/>
      <c r="D19" s="76"/>
      <c r="E19" s="68"/>
      <c r="F19" s="68"/>
      <c r="G19" s="227" t="str">
        <f ca="1">Database_cortec!F17</f>
        <v>X</v>
      </c>
      <c r="H19" s="240"/>
      <c r="I19" s="238"/>
      <c r="J19" s="241"/>
      <c r="K19" s="69"/>
      <c r="L19" s="237"/>
      <c r="M19" s="71"/>
      <c r="N19" s="69"/>
      <c r="O19" s="237"/>
      <c r="P19" s="71"/>
      <c r="Q19" s="69"/>
      <c r="R19" s="237"/>
      <c r="S19" s="71"/>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row>
    <row r="20" spans="1:253" s="225" customFormat="1">
      <c r="A20" s="226"/>
      <c r="B20" s="73"/>
      <c r="C20" s="73"/>
      <c r="D20" s="76"/>
      <c r="E20" s="68"/>
      <c r="F20" s="68"/>
      <c r="G20" s="236"/>
      <c r="H20" s="240"/>
      <c r="I20" s="238"/>
      <c r="J20" s="241"/>
      <c r="K20" s="69"/>
      <c r="L20" s="237"/>
      <c r="M20" s="71"/>
      <c r="N20" s="69"/>
      <c r="O20" s="237"/>
      <c r="P20" s="71"/>
      <c r="Q20" s="69"/>
      <c r="R20" s="237"/>
      <c r="S20" s="71"/>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row>
    <row r="21" spans="1:253" s="225" customFormat="1" ht="13">
      <c r="A21" s="77" t="str">
        <f>Database_cortec!B20</f>
        <v>Mounting Options</v>
      </c>
      <c r="B21" s="61"/>
      <c r="C21" s="61"/>
      <c r="D21" s="78"/>
      <c r="E21" s="67"/>
      <c r="F21" s="117"/>
      <c r="G21" s="242"/>
      <c r="H21" s="239"/>
      <c r="I21" s="238"/>
      <c r="J21" s="241"/>
      <c r="K21" s="69"/>
      <c r="L21" s="237"/>
      <c r="M21" s="71"/>
      <c r="N21" s="69"/>
      <c r="O21" s="237"/>
      <c r="P21" s="71"/>
      <c r="Q21" s="69"/>
      <c r="R21" s="237"/>
      <c r="S21" s="71"/>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row>
    <row r="22" spans="1:253" s="225" customFormat="1">
      <c r="A22" s="226" t="str">
        <f ca="1">Database_cortec!E21</f>
        <v>19” Rack Mount / Rear Mount</v>
      </c>
      <c r="B22" s="73"/>
      <c r="C22" s="73"/>
      <c r="D22" s="76"/>
      <c r="E22" s="68"/>
      <c r="F22" s="223"/>
      <c r="G22" s="236"/>
      <c r="H22" s="227" t="str">
        <f ca="1">Database_cortec!F21</f>
        <v>P</v>
      </c>
      <c r="I22" s="238"/>
      <c r="J22" s="241"/>
      <c r="K22" s="69"/>
      <c r="L22" s="237"/>
      <c r="M22" s="71"/>
      <c r="N22" s="69"/>
      <c r="O22" s="237"/>
      <c r="P22" s="71"/>
      <c r="Q22" s="69"/>
      <c r="R22" s="237"/>
      <c r="S22" s="71"/>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row>
    <row r="23" spans="1:253" s="225" customFormat="1">
      <c r="A23" s="226"/>
      <c r="B23" s="73"/>
      <c r="C23" s="73"/>
      <c r="D23" s="76"/>
      <c r="E23" s="68"/>
      <c r="G23" s="236"/>
      <c r="H23" s="236"/>
      <c r="I23" s="238"/>
      <c r="J23" s="241"/>
      <c r="K23" s="69"/>
      <c r="L23" s="237"/>
      <c r="M23" s="71"/>
      <c r="N23" s="69"/>
      <c r="O23" s="237"/>
      <c r="P23" s="71"/>
      <c r="Q23" s="69"/>
      <c r="R23" s="237"/>
      <c r="S23" s="71"/>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c r="IR23" s="75"/>
      <c r="IS23" s="75"/>
    </row>
    <row r="24" spans="1:253" s="225" customFormat="1" ht="13">
      <c r="A24" s="77" t="str">
        <f>Database_cortec!B23</f>
        <v>Software Functionality (Licensing)</v>
      </c>
      <c r="B24" s="61"/>
      <c r="C24" s="61"/>
      <c r="D24" s="78"/>
      <c r="E24" s="67"/>
      <c r="F24" s="117"/>
      <c r="G24" s="242"/>
      <c r="H24" s="242"/>
      <c r="I24" s="237"/>
      <c r="J24" s="241"/>
      <c r="K24" s="69"/>
      <c r="L24" s="237"/>
      <c r="M24" s="71"/>
      <c r="N24" s="69"/>
      <c r="O24" s="237"/>
      <c r="P24" s="71"/>
      <c r="Q24" s="69"/>
      <c r="R24" s="237"/>
      <c r="S24" s="71"/>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c r="IR24" s="75"/>
      <c r="IS24" s="75"/>
    </row>
    <row r="25" spans="1:253" s="225" customFormat="1">
      <c r="A25" s="226" t="str">
        <f ca="1">Database_cortec!E24</f>
        <v>Standard Layer 2 packet switching (MAC Based)</v>
      </c>
      <c r="B25" s="73"/>
      <c r="C25" s="73"/>
      <c r="D25" s="76"/>
      <c r="E25" s="68"/>
      <c r="G25" s="236"/>
      <c r="H25" s="236"/>
      <c r="I25" s="227">
        <f ca="1">Database_cortec!F24</f>
        <v>2</v>
      </c>
      <c r="J25" s="241"/>
      <c r="K25" s="69"/>
      <c r="L25" s="237"/>
      <c r="M25" s="71"/>
      <c r="N25" s="69"/>
      <c r="O25" s="237"/>
      <c r="P25" s="71"/>
      <c r="Q25" s="69"/>
      <c r="R25" s="237"/>
      <c r="S25" s="71"/>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75"/>
    </row>
    <row r="26" spans="1:253" s="225" customFormat="1">
      <c r="A26" s="226" t="str">
        <f ca="1">Database_cortec!E25</f>
        <v>Advanced Layer 2 and Layer 3 packet switching (MAC Based and IP Based)</v>
      </c>
      <c r="B26" s="73"/>
      <c r="C26" s="73"/>
      <c r="D26" s="76"/>
      <c r="E26" s="68"/>
      <c r="G26" s="236"/>
      <c r="H26" s="236"/>
      <c r="I26" s="227">
        <f ca="1">Database_cortec!F25</f>
        <v>3</v>
      </c>
      <c r="J26" s="241"/>
      <c r="K26" s="69"/>
      <c r="L26" s="237"/>
      <c r="M26" s="71"/>
      <c r="N26" s="69"/>
      <c r="O26" s="237"/>
      <c r="P26" s="71"/>
      <c r="Q26" s="69"/>
      <c r="R26" s="237"/>
      <c r="S26" s="71"/>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c r="IR26" s="75"/>
      <c r="IS26" s="75"/>
    </row>
    <row r="27" spans="1:253" s="225" customFormat="1">
      <c r="A27" s="226"/>
      <c r="B27" s="73"/>
      <c r="C27" s="73"/>
      <c r="D27" s="76"/>
      <c r="E27" s="68"/>
      <c r="G27" s="236"/>
      <c r="H27" s="236"/>
      <c r="I27" s="236"/>
      <c r="J27" s="241"/>
      <c r="K27" s="69"/>
      <c r="L27" s="237"/>
      <c r="M27" s="71"/>
      <c r="N27" s="69"/>
      <c r="O27" s="237"/>
      <c r="P27" s="71"/>
      <c r="Q27" s="69"/>
      <c r="R27" s="237"/>
      <c r="S27" s="71"/>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c r="IR27" s="75"/>
      <c r="IS27" s="75"/>
    </row>
    <row r="28" spans="1:253" s="225" customFormat="1" ht="13">
      <c r="A28" s="77" t="str">
        <f>Database_cortec!B27</f>
        <v>PTP Support (Licensing)</v>
      </c>
      <c r="B28" s="61"/>
      <c r="C28" s="61"/>
      <c r="D28" s="78"/>
      <c r="E28" s="67"/>
      <c r="F28" s="117"/>
      <c r="G28" s="242"/>
      <c r="H28" s="242"/>
      <c r="I28" s="242"/>
      <c r="J28" s="241"/>
      <c r="K28" s="69"/>
      <c r="L28" s="237"/>
      <c r="M28" s="71"/>
      <c r="N28" s="69"/>
      <c r="O28" s="237"/>
      <c r="P28" s="71"/>
      <c r="Q28" s="69"/>
      <c r="R28" s="237"/>
      <c r="S28" s="71"/>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row>
    <row r="29" spans="1:253" s="225" customFormat="1">
      <c r="A29" s="226" t="str">
        <f ca="1">Database_cortec!E28</f>
        <v>With PTP (IEEE 1588v2) support</v>
      </c>
      <c r="B29" s="73"/>
      <c r="C29" s="73"/>
      <c r="D29" s="76"/>
      <c r="E29" s="68"/>
      <c r="F29" s="223"/>
      <c r="G29" s="236"/>
      <c r="H29" s="236"/>
      <c r="I29" s="236"/>
      <c r="J29" s="227" t="str">
        <f ca="1">Database_cortec!F28</f>
        <v>P</v>
      </c>
      <c r="K29" s="69"/>
      <c r="L29" s="237"/>
      <c r="M29" s="71"/>
      <c r="N29" s="69"/>
      <c r="O29" s="237"/>
      <c r="P29" s="71"/>
      <c r="Q29" s="69"/>
      <c r="R29" s="237"/>
      <c r="S29" s="71"/>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row>
    <row r="30" spans="1:253">
      <c r="A30" s="226" t="str">
        <f ca="1">Database_cortec!E29</f>
        <v>Without PTP (IEEE 1588v2) support</v>
      </c>
      <c r="B30" s="73"/>
      <c r="C30" s="73"/>
      <c r="D30" s="76"/>
      <c r="E30" s="68"/>
      <c r="F30" s="68"/>
      <c r="G30" s="68"/>
      <c r="H30" s="68"/>
      <c r="I30" s="68"/>
      <c r="J30" s="227" t="str">
        <f ca="1">Database_cortec!F29</f>
        <v>X</v>
      </c>
      <c r="K30" s="69"/>
      <c r="L30" s="237"/>
      <c r="M30" s="71"/>
      <c r="N30" s="69"/>
      <c r="O30" s="237"/>
      <c r="P30" s="71"/>
      <c r="Q30" s="69"/>
      <c r="R30" s="237"/>
      <c r="S30" s="71"/>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75"/>
    </row>
    <row r="31" spans="1:253" s="225" customFormat="1">
      <c r="A31" s="226"/>
      <c r="B31" s="73"/>
      <c r="C31" s="73"/>
      <c r="D31" s="76"/>
      <c r="E31" s="68"/>
      <c r="F31" s="68"/>
      <c r="G31" s="68"/>
      <c r="H31" s="68"/>
      <c r="I31" s="68"/>
      <c r="J31" s="68"/>
      <c r="K31" s="69"/>
      <c r="L31" s="237"/>
      <c r="M31" s="71"/>
      <c r="N31" s="69"/>
      <c r="O31" s="237"/>
      <c r="P31" s="71"/>
      <c r="Q31" s="69"/>
      <c r="R31" s="237"/>
      <c r="S31" s="71"/>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row>
    <row r="32" spans="1:253" ht="13">
      <c r="A32" s="77" t="str">
        <f>Database_cortec!B31</f>
        <v>Interface Module 1</v>
      </c>
      <c r="B32" s="61"/>
      <c r="C32" s="61"/>
      <c r="D32" s="78"/>
      <c r="E32" s="67"/>
      <c r="F32" s="67"/>
      <c r="G32" s="67"/>
      <c r="H32" s="67"/>
      <c r="I32" s="67"/>
      <c r="J32" s="67"/>
      <c r="K32" s="69"/>
      <c r="L32" s="237"/>
      <c r="M32" s="71"/>
      <c r="N32" s="69"/>
      <c r="O32" s="237"/>
      <c r="P32" s="71"/>
      <c r="Q32" s="69"/>
      <c r="R32" s="237"/>
      <c r="S32" s="71"/>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row>
    <row r="33" spans="1:253">
      <c r="A33" s="72" t="str">
        <f ca="1">Database_cortec!E32</f>
        <v>Four 1 Gbps RJ45 copper 10/100BASE-TX/1000BASE-T Ethernet ports</v>
      </c>
      <c r="B33" s="73"/>
      <c r="C33" s="73"/>
      <c r="D33" s="76"/>
      <c r="E33" s="68"/>
      <c r="F33" s="68"/>
      <c r="G33" s="68"/>
      <c r="H33" s="68"/>
      <c r="I33" s="68"/>
      <c r="J33" s="68"/>
      <c r="K33" s="79" t="str">
        <f ca="1">Database_cortec!F32</f>
        <v>A</v>
      </c>
      <c r="L33" s="237"/>
      <c r="M33" s="71"/>
      <c r="N33" s="69"/>
      <c r="O33" s="237"/>
      <c r="P33" s="71"/>
      <c r="Q33" s="69"/>
      <c r="R33" s="237"/>
      <c r="S33" s="71"/>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c r="FX33" s="75"/>
      <c r="FY33" s="75"/>
      <c r="FZ33" s="75"/>
      <c r="GA33" s="75"/>
      <c r="GB33" s="75"/>
      <c r="GC33" s="75"/>
      <c r="GD33" s="75"/>
      <c r="GE33" s="75"/>
      <c r="GF33" s="75"/>
      <c r="GG33" s="75"/>
      <c r="GH33" s="75"/>
      <c r="GI33" s="75"/>
      <c r="GJ33" s="75"/>
      <c r="GK33" s="75"/>
      <c r="GL33" s="75"/>
      <c r="GM33" s="75"/>
      <c r="GN33" s="75"/>
      <c r="GO33" s="75"/>
      <c r="GP33" s="75"/>
      <c r="GQ33" s="75"/>
      <c r="GR33" s="75"/>
      <c r="GS33" s="75"/>
      <c r="GT33" s="75"/>
      <c r="GU33" s="75"/>
      <c r="GV33" s="75"/>
      <c r="GW33" s="75"/>
      <c r="GX33" s="75"/>
      <c r="GY33" s="75"/>
      <c r="GZ33" s="75"/>
      <c r="HA33" s="75"/>
      <c r="HB33" s="75"/>
      <c r="HC33" s="75"/>
      <c r="HD33" s="75"/>
      <c r="HE33" s="75"/>
      <c r="HF33" s="75"/>
      <c r="HG33" s="75"/>
      <c r="HH33" s="75"/>
      <c r="HI33" s="75"/>
      <c r="HJ33" s="75"/>
      <c r="HK33" s="75"/>
      <c r="HL33" s="75"/>
      <c r="HM33" s="75"/>
      <c r="HN33" s="75"/>
      <c r="HO33" s="75"/>
      <c r="HP33" s="75"/>
      <c r="HQ33" s="75"/>
      <c r="HR33" s="75"/>
      <c r="HS33" s="75"/>
      <c r="HT33" s="75"/>
      <c r="HU33" s="75"/>
      <c r="HV33" s="75"/>
      <c r="HW33" s="75"/>
      <c r="HX33" s="75"/>
      <c r="HY33" s="75"/>
      <c r="HZ33" s="75"/>
      <c r="IA33" s="75"/>
      <c r="IB33" s="75"/>
      <c r="IC33" s="75"/>
      <c r="ID33" s="75"/>
      <c r="IE33" s="75"/>
      <c r="IF33" s="75"/>
      <c r="IG33" s="75"/>
      <c r="IH33" s="75"/>
      <c r="II33" s="75"/>
      <c r="IJ33" s="75"/>
      <c r="IK33" s="75"/>
      <c r="IL33" s="75"/>
      <c r="IM33" s="75"/>
      <c r="IN33" s="75"/>
      <c r="IO33" s="75"/>
      <c r="IP33" s="75"/>
      <c r="IQ33" s="75"/>
      <c r="IR33" s="75"/>
      <c r="IS33" s="75"/>
    </row>
    <row r="34" spans="1:253">
      <c r="A34" s="226" t="str">
        <f ca="1">Database_cortec!E33</f>
        <v>Four slots for SFP transceivers (up to 1 Gbps)</v>
      </c>
      <c r="B34" s="73"/>
      <c r="C34" s="73"/>
      <c r="D34" s="76"/>
      <c r="E34" s="68"/>
      <c r="F34" s="68"/>
      <c r="G34" s="68"/>
      <c r="H34" s="68"/>
      <c r="I34" s="68"/>
      <c r="J34" s="68"/>
      <c r="K34" s="227" t="str">
        <f ca="1">Database_cortec!F33</f>
        <v>B</v>
      </c>
      <c r="L34" s="237"/>
      <c r="M34" s="71"/>
      <c r="N34" s="69"/>
      <c r="O34" s="237"/>
      <c r="P34" s="71"/>
      <c r="Q34" s="69"/>
      <c r="R34" s="237"/>
      <c r="S34" s="71"/>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row>
    <row r="35" spans="1:253">
      <c r="A35" s="226" t="str">
        <f ca="1">Database_cortec!E34</f>
        <v>Four 1 Gbps LC-type SFP transceivers multi mode fiber 1000BASE-SX Ethernet for up to 0.5 km</v>
      </c>
      <c r="B35" s="73"/>
      <c r="C35" s="73"/>
      <c r="D35" s="76"/>
      <c r="E35" s="68"/>
      <c r="F35" s="68"/>
      <c r="G35" s="68"/>
      <c r="H35" s="68"/>
      <c r="I35" s="68"/>
      <c r="J35" s="68"/>
      <c r="K35" s="227" t="str">
        <f ca="1">Database_cortec!F34</f>
        <v>C</v>
      </c>
      <c r="L35" s="237"/>
      <c r="M35" s="71"/>
      <c r="N35" s="69"/>
      <c r="O35" s="237"/>
      <c r="P35" s="71"/>
      <c r="Q35" s="69"/>
      <c r="R35" s="237"/>
      <c r="S35" s="71"/>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row>
    <row r="36" spans="1:253">
      <c r="A36" s="226" t="str">
        <f ca="1">Database_cortec!E35</f>
        <v>Four 1 Gbps LC-type SFP transceivers single mode fiber 1000BASE-LX Ethernet for up to 20 km</v>
      </c>
      <c r="B36" s="73"/>
      <c r="C36" s="73"/>
      <c r="D36" s="76"/>
      <c r="E36" s="68"/>
      <c r="F36" s="68"/>
      <c r="G36" s="68"/>
      <c r="H36" s="68"/>
      <c r="I36" s="68"/>
      <c r="J36" s="68"/>
      <c r="K36" s="227" t="str">
        <f ca="1">Database_cortec!F35</f>
        <v>D</v>
      </c>
      <c r="L36" s="237"/>
      <c r="M36" s="71"/>
      <c r="N36" s="69"/>
      <c r="O36" s="237"/>
      <c r="P36" s="71"/>
      <c r="Q36" s="69"/>
      <c r="R36" s="237"/>
      <c r="S36" s="71"/>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c r="GH36" s="75"/>
      <c r="GI36" s="75"/>
      <c r="GJ36" s="75"/>
      <c r="GK36" s="75"/>
      <c r="GL36" s="75"/>
      <c r="GM36" s="75"/>
      <c r="GN36" s="75"/>
      <c r="GO36" s="75"/>
      <c r="GP36" s="75"/>
      <c r="GQ36" s="75"/>
      <c r="GR36" s="75"/>
      <c r="GS36" s="75"/>
      <c r="GT36" s="75"/>
      <c r="GU36" s="75"/>
      <c r="GV36" s="75"/>
      <c r="GW36" s="75"/>
      <c r="GX36" s="75"/>
      <c r="GY36" s="75"/>
      <c r="GZ36" s="75"/>
      <c r="HA36" s="75"/>
      <c r="HB36" s="75"/>
      <c r="HC36" s="75"/>
      <c r="HD36" s="75"/>
      <c r="HE36" s="75"/>
      <c r="HF36" s="75"/>
      <c r="HG36" s="75"/>
      <c r="HH36" s="75"/>
      <c r="HI36" s="75"/>
      <c r="HJ36" s="75"/>
      <c r="HK36" s="75"/>
      <c r="HL36" s="75"/>
      <c r="HM36" s="75"/>
      <c r="HN36" s="75"/>
      <c r="HO36" s="75"/>
      <c r="HP36" s="75"/>
      <c r="HQ36" s="75"/>
      <c r="HR36" s="75"/>
      <c r="HS36" s="75"/>
      <c r="HT36" s="75"/>
      <c r="HU36" s="75"/>
      <c r="HV36" s="75"/>
      <c r="HW36" s="75"/>
      <c r="HX36" s="75"/>
      <c r="HY36" s="75"/>
      <c r="HZ36" s="75"/>
      <c r="IA36" s="75"/>
      <c r="IB36" s="75"/>
      <c r="IC36" s="75"/>
      <c r="ID36" s="75"/>
      <c r="IE36" s="75"/>
      <c r="IF36" s="75"/>
      <c r="IG36" s="75"/>
      <c r="IH36" s="75"/>
      <c r="II36" s="75"/>
      <c r="IJ36" s="75"/>
      <c r="IK36" s="75"/>
      <c r="IL36" s="75"/>
      <c r="IM36" s="75"/>
      <c r="IN36" s="75"/>
      <c r="IO36" s="75"/>
      <c r="IP36" s="75"/>
      <c r="IQ36" s="75"/>
      <c r="IR36" s="75"/>
      <c r="IS36" s="75"/>
    </row>
    <row r="37" spans="1:253">
      <c r="A37" s="226" t="str">
        <f ca="1">Database_cortec!E36</f>
        <v>Four 1 Gbps LC-type SFP transceivers single mode fiber 1000BASE-ZX Ethernet for up to 40 km</v>
      </c>
      <c r="B37" s="73"/>
      <c r="C37" s="73"/>
      <c r="D37" s="76"/>
      <c r="E37" s="68"/>
      <c r="F37" s="68"/>
      <c r="G37" s="68"/>
      <c r="H37" s="68"/>
      <c r="I37" s="68"/>
      <c r="J37" s="68"/>
      <c r="K37" s="227" t="str">
        <f ca="1">Database_cortec!F36</f>
        <v>E</v>
      </c>
      <c r="L37" s="237"/>
      <c r="M37" s="71"/>
      <c r="N37" s="69"/>
      <c r="O37" s="237"/>
      <c r="P37" s="71"/>
      <c r="Q37" s="69"/>
      <c r="R37" s="237"/>
      <c r="S37" s="71"/>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c r="EO37" s="75"/>
      <c r="EP37" s="75"/>
      <c r="EQ37" s="75"/>
      <c r="ER37" s="75"/>
      <c r="ES37" s="75"/>
      <c r="ET37" s="75"/>
      <c r="EU37" s="75"/>
      <c r="EV37" s="75"/>
      <c r="EW37" s="75"/>
      <c r="EX37" s="75"/>
      <c r="EY37" s="75"/>
      <c r="EZ37" s="75"/>
      <c r="FA37" s="75"/>
      <c r="FB37" s="75"/>
      <c r="FC37" s="75"/>
      <c r="FD37" s="75"/>
      <c r="FE37" s="75"/>
      <c r="FF37" s="75"/>
      <c r="FG37" s="75"/>
      <c r="FH37" s="75"/>
      <c r="FI37" s="75"/>
      <c r="FJ37" s="75"/>
      <c r="FK37" s="75"/>
      <c r="FL37" s="75"/>
      <c r="FM37" s="75"/>
      <c r="FN37" s="75"/>
      <c r="FO37" s="75"/>
      <c r="FP37" s="75"/>
      <c r="FQ37" s="75"/>
      <c r="FR37" s="75"/>
      <c r="FS37" s="75"/>
      <c r="FT37" s="75"/>
      <c r="FU37" s="75"/>
      <c r="FV37" s="75"/>
      <c r="FW37" s="75"/>
      <c r="FX37" s="75"/>
      <c r="FY37" s="75"/>
      <c r="FZ37" s="75"/>
      <c r="GA37" s="75"/>
      <c r="GB37" s="75"/>
      <c r="GC37" s="75"/>
      <c r="GD37" s="75"/>
      <c r="GE37" s="75"/>
      <c r="GF37" s="75"/>
      <c r="GG37" s="75"/>
      <c r="GH37" s="75"/>
      <c r="GI37" s="75"/>
      <c r="GJ37" s="75"/>
      <c r="GK37" s="75"/>
      <c r="GL37" s="75"/>
      <c r="GM37" s="75"/>
      <c r="GN37" s="75"/>
      <c r="GO37" s="75"/>
      <c r="GP37" s="75"/>
      <c r="GQ37" s="75"/>
      <c r="GR37" s="75"/>
      <c r="GS37" s="75"/>
      <c r="GT37" s="75"/>
      <c r="GU37" s="75"/>
      <c r="GV37" s="75"/>
      <c r="GW37" s="75"/>
      <c r="GX37" s="75"/>
      <c r="GY37" s="75"/>
      <c r="GZ37" s="75"/>
      <c r="HA37" s="75"/>
      <c r="HB37" s="75"/>
      <c r="HC37" s="75"/>
      <c r="HD37" s="75"/>
      <c r="HE37" s="75"/>
      <c r="HF37" s="75"/>
      <c r="HG37" s="75"/>
      <c r="HH37" s="75"/>
      <c r="HI37" s="75"/>
      <c r="HJ37" s="75"/>
      <c r="HK37" s="75"/>
      <c r="HL37" s="75"/>
      <c r="HM37" s="75"/>
      <c r="HN37" s="75"/>
      <c r="HO37" s="75"/>
      <c r="HP37" s="75"/>
      <c r="HQ37" s="75"/>
      <c r="HR37" s="75"/>
      <c r="HS37" s="75"/>
      <c r="HT37" s="75"/>
      <c r="HU37" s="75"/>
      <c r="HV37" s="75"/>
      <c r="HW37" s="75"/>
      <c r="HX37" s="75"/>
      <c r="HY37" s="75"/>
      <c r="HZ37" s="75"/>
      <c r="IA37" s="75"/>
      <c r="IB37" s="75"/>
      <c r="IC37" s="75"/>
      <c r="ID37" s="75"/>
      <c r="IE37" s="75"/>
      <c r="IF37" s="75"/>
      <c r="IG37" s="75"/>
      <c r="IH37" s="75"/>
      <c r="II37" s="75"/>
      <c r="IJ37" s="75"/>
      <c r="IK37" s="75"/>
      <c r="IL37" s="75"/>
      <c r="IM37" s="75"/>
      <c r="IN37" s="75"/>
      <c r="IO37" s="75"/>
      <c r="IP37" s="75"/>
      <c r="IQ37" s="75"/>
      <c r="IR37" s="75"/>
      <c r="IS37" s="75"/>
    </row>
    <row r="38" spans="1:253">
      <c r="A38" s="226" t="str">
        <f ca="1">Database_cortec!E37</f>
        <v>Four 1 Gbps LC-type SFP transceivers single mode fiber 1000BASE-ZX Ethernet for up to 80 km</v>
      </c>
      <c r="B38" s="73"/>
      <c r="C38" s="73"/>
      <c r="D38" s="76"/>
      <c r="E38" s="68"/>
      <c r="F38" s="68"/>
      <c r="G38" s="68"/>
      <c r="H38" s="68"/>
      <c r="I38" s="68"/>
      <c r="J38" s="68"/>
      <c r="K38" s="227" t="str">
        <f ca="1">Database_cortec!F37</f>
        <v>F</v>
      </c>
      <c r="L38" s="237"/>
      <c r="M38" s="71"/>
      <c r="N38" s="69"/>
      <c r="O38" s="237"/>
      <c r="P38" s="71"/>
      <c r="Q38" s="69"/>
      <c r="R38" s="237"/>
      <c r="S38" s="71"/>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75"/>
    </row>
    <row r="39" spans="1:253">
      <c r="A39" s="226" t="str">
        <f ca="1">Database_cortec!E38</f>
        <v>Four 100 Mbps LC-type SFP transceivers multi mode fiber 100BASE-FX Ethernet for up to 2 km</v>
      </c>
      <c r="B39" s="73"/>
      <c r="C39" s="73"/>
      <c r="D39" s="76"/>
      <c r="E39" s="68"/>
      <c r="F39" s="68"/>
      <c r="G39" s="68"/>
      <c r="H39" s="68"/>
      <c r="I39" s="68"/>
      <c r="J39" s="68"/>
      <c r="K39" s="227" t="str">
        <f ca="1">Database_cortec!F38</f>
        <v>H</v>
      </c>
      <c r="L39" s="237"/>
      <c r="M39" s="71"/>
      <c r="N39" s="69"/>
      <c r="O39" s="237"/>
      <c r="P39" s="71"/>
      <c r="Q39" s="69"/>
      <c r="R39" s="237"/>
      <c r="S39" s="71"/>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75"/>
      <c r="FG39" s="75"/>
      <c r="FH39" s="75"/>
      <c r="FI39" s="75"/>
      <c r="FJ39" s="75"/>
      <c r="FK39" s="75"/>
      <c r="FL39" s="75"/>
      <c r="FM39" s="75"/>
      <c r="FN39" s="75"/>
      <c r="FO39" s="75"/>
      <c r="FP39" s="75"/>
      <c r="FQ39" s="75"/>
      <c r="FR39" s="75"/>
      <c r="FS39" s="75"/>
      <c r="FT39" s="75"/>
      <c r="FU39" s="75"/>
      <c r="FV39" s="75"/>
      <c r="FW39" s="75"/>
      <c r="FX39" s="75"/>
      <c r="FY39" s="75"/>
      <c r="FZ39" s="75"/>
      <c r="GA39" s="75"/>
      <c r="GB39" s="75"/>
      <c r="GC39" s="75"/>
      <c r="GD39" s="75"/>
      <c r="GE39" s="75"/>
      <c r="GF39" s="75"/>
      <c r="GG39" s="75"/>
      <c r="GH39" s="75"/>
      <c r="GI39" s="75"/>
      <c r="GJ39" s="75"/>
      <c r="GK39" s="75"/>
      <c r="GL39" s="75"/>
      <c r="GM39" s="75"/>
      <c r="GN39" s="75"/>
      <c r="GO39" s="75"/>
      <c r="GP39" s="75"/>
      <c r="GQ39" s="75"/>
      <c r="GR39" s="75"/>
      <c r="GS39" s="75"/>
      <c r="GT39" s="75"/>
      <c r="GU39" s="75"/>
      <c r="GV39" s="75"/>
      <c r="GW39" s="75"/>
      <c r="GX39" s="75"/>
      <c r="GY39" s="75"/>
      <c r="GZ39" s="75"/>
      <c r="HA39" s="75"/>
      <c r="HB39" s="75"/>
      <c r="HC39" s="75"/>
      <c r="HD39" s="75"/>
      <c r="HE39" s="75"/>
      <c r="HF39" s="75"/>
      <c r="HG39" s="75"/>
      <c r="HH39" s="75"/>
      <c r="HI39" s="75"/>
      <c r="HJ39" s="75"/>
      <c r="HK39" s="75"/>
      <c r="HL39" s="75"/>
      <c r="HM39" s="75"/>
      <c r="HN39" s="75"/>
      <c r="HO39" s="75"/>
      <c r="HP39" s="75"/>
      <c r="HQ39" s="75"/>
      <c r="HR39" s="75"/>
      <c r="HS39" s="75"/>
      <c r="HT39" s="75"/>
      <c r="HU39" s="75"/>
      <c r="HV39" s="75"/>
      <c r="HW39" s="75"/>
      <c r="HX39" s="75"/>
      <c r="HY39" s="75"/>
      <c r="HZ39" s="75"/>
      <c r="IA39" s="75"/>
      <c r="IB39" s="75"/>
      <c r="IC39" s="75"/>
      <c r="ID39" s="75"/>
      <c r="IE39" s="75"/>
      <c r="IF39" s="75"/>
      <c r="IG39" s="75"/>
      <c r="IH39" s="75"/>
      <c r="II39" s="75"/>
      <c r="IJ39" s="75"/>
      <c r="IK39" s="75"/>
      <c r="IL39" s="75"/>
      <c r="IM39" s="75"/>
      <c r="IN39" s="75"/>
      <c r="IO39" s="75"/>
      <c r="IP39" s="75"/>
      <c r="IQ39" s="75"/>
      <c r="IR39" s="75"/>
      <c r="IS39" s="75"/>
    </row>
    <row r="40" spans="1:253">
      <c r="A40" s="226" t="str">
        <f ca="1">Database_cortec!E39</f>
        <v>Four RJ45 copper 10/100BASE-TX</v>
      </c>
      <c r="B40" s="73"/>
      <c r="C40" s="73"/>
      <c r="D40" s="76"/>
      <c r="E40" s="68"/>
      <c r="F40" s="68"/>
      <c r="G40" s="68"/>
      <c r="H40" s="68"/>
      <c r="I40" s="68"/>
      <c r="J40" s="68"/>
      <c r="K40" s="227" t="str">
        <f ca="1">Database_cortec!F39</f>
        <v>I</v>
      </c>
      <c r="L40" s="237"/>
      <c r="M40" s="71"/>
      <c r="N40" s="69"/>
      <c r="O40" s="237"/>
      <c r="P40" s="71"/>
      <c r="Q40" s="69"/>
      <c r="R40" s="237"/>
      <c r="S40" s="71"/>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c r="EO40" s="75"/>
      <c r="EP40" s="75"/>
      <c r="EQ40" s="75"/>
      <c r="ER40" s="75"/>
      <c r="ES40" s="75"/>
      <c r="ET40" s="75"/>
      <c r="EU40" s="75"/>
      <c r="EV40" s="75"/>
      <c r="EW40" s="75"/>
      <c r="EX40" s="75"/>
      <c r="EY40" s="75"/>
      <c r="EZ40" s="75"/>
      <c r="FA40" s="75"/>
      <c r="FB40" s="75"/>
      <c r="FC40" s="75"/>
      <c r="FD40" s="75"/>
      <c r="FE40" s="75"/>
      <c r="FF40" s="75"/>
      <c r="FG40" s="75"/>
      <c r="FH40" s="75"/>
      <c r="FI40" s="75"/>
      <c r="FJ40" s="75"/>
      <c r="FK40" s="75"/>
      <c r="FL40" s="75"/>
      <c r="FM40" s="75"/>
      <c r="FN40" s="75"/>
      <c r="FO40" s="75"/>
      <c r="FP40" s="75"/>
      <c r="FQ40" s="75"/>
      <c r="FR40" s="75"/>
      <c r="FS40" s="75"/>
      <c r="FT40" s="75"/>
      <c r="FU40" s="75"/>
      <c r="FV40" s="75"/>
      <c r="FW40" s="75"/>
      <c r="FX40" s="75"/>
      <c r="FY40" s="75"/>
      <c r="FZ40" s="75"/>
      <c r="GA40" s="75"/>
      <c r="GB40" s="75"/>
      <c r="GC40" s="75"/>
      <c r="GD40" s="75"/>
      <c r="GE40" s="75"/>
      <c r="GF40" s="75"/>
      <c r="GG40" s="75"/>
      <c r="GH40" s="75"/>
      <c r="GI40" s="75"/>
      <c r="GJ40" s="75"/>
      <c r="GK40" s="75"/>
      <c r="GL40" s="75"/>
      <c r="GM40" s="75"/>
      <c r="GN40" s="75"/>
      <c r="GO40" s="75"/>
      <c r="GP40" s="75"/>
      <c r="GQ40" s="75"/>
      <c r="GR40" s="75"/>
      <c r="GS40" s="75"/>
      <c r="GT40" s="75"/>
      <c r="GU40" s="75"/>
      <c r="GV40" s="75"/>
      <c r="GW40" s="75"/>
      <c r="GX40" s="75"/>
      <c r="GY40" s="75"/>
      <c r="GZ40" s="75"/>
      <c r="HA40" s="75"/>
      <c r="HB40" s="75"/>
      <c r="HC40" s="75"/>
      <c r="HD40" s="75"/>
      <c r="HE40" s="75"/>
      <c r="HF40" s="75"/>
      <c r="HG40" s="75"/>
      <c r="HH40" s="75"/>
      <c r="HI40" s="75"/>
      <c r="HJ40" s="75"/>
      <c r="HK40" s="75"/>
      <c r="HL40" s="75"/>
      <c r="HM40" s="75"/>
      <c r="HN40" s="75"/>
      <c r="HO40" s="75"/>
      <c r="HP40" s="75"/>
      <c r="HQ40" s="75"/>
      <c r="HR40" s="75"/>
      <c r="HS40" s="75"/>
      <c r="HT40" s="75"/>
      <c r="HU40" s="75"/>
      <c r="HV40" s="75"/>
      <c r="HW40" s="75"/>
      <c r="HX40" s="75"/>
      <c r="HY40" s="75"/>
      <c r="HZ40" s="75"/>
      <c r="IA40" s="75"/>
      <c r="IB40" s="75"/>
      <c r="IC40" s="75"/>
      <c r="ID40" s="75"/>
      <c r="IE40" s="75"/>
      <c r="IF40" s="75"/>
      <c r="IG40" s="75"/>
      <c r="IH40" s="75"/>
      <c r="II40" s="75"/>
      <c r="IJ40" s="75"/>
      <c r="IK40" s="75"/>
      <c r="IL40" s="75"/>
      <c r="IM40" s="75"/>
      <c r="IN40" s="75"/>
      <c r="IO40" s="75"/>
      <c r="IP40" s="75"/>
      <c r="IQ40" s="75"/>
      <c r="IR40" s="75"/>
      <c r="IS40" s="75"/>
    </row>
    <row r="41" spans="1:253">
      <c r="A41" s="226" t="str">
        <f ca="1">Database_cortec!E40</f>
        <v>Four 1 Gbps RJ45 SFP transceivers Ethernet 10/100BASE-TX/1000BASE-T 10/100BASE-TX/1000BASE-T</v>
      </c>
      <c r="B41" s="73"/>
      <c r="C41" s="73"/>
      <c r="D41" s="76"/>
      <c r="E41" s="68"/>
      <c r="F41" s="68"/>
      <c r="G41" s="68"/>
      <c r="H41" s="68"/>
      <c r="I41" s="68"/>
      <c r="J41" s="68"/>
      <c r="K41" s="227" t="str">
        <f ca="1">Database_cortec!F40</f>
        <v>J</v>
      </c>
      <c r="L41" s="237"/>
      <c r="M41" s="71"/>
      <c r="N41" s="69"/>
      <c r="O41" s="237"/>
      <c r="P41" s="71"/>
      <c r="Q41" s="69"/>
      <c r="R41" s="237"/>
      <c r="S41" s="71"/>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c r="FM41" s="75"/>
      <c r="FN41" s="75"/>
      <c r="FO41" s="75"/>
      <c r="FP41" s="75"/>
      <c r="FQ41" s="75"/>
      <c r="FR41" s="75"/>
      <c r="FS41" s="75"/>
      <c r="FT41" s="75"/>
      <c r="FU41" s="75"/>
      <c r="FV41" s="75"/>
      <c r="FW41" s="75"/>
      <c r="FX41" s="75"/>
      <c r="FY41" s="75"/>
      <c r="FZ41" s="75"/>
      <c r="GA41" s="75"/>
      <c r="GB41" s="75"/>
      <c r="GC41" s="75"/>
      <c r="GD41" s="75"/>
      <c r="GE41" s="75"/>
      <c r="GF41" s="75"/>
      <c r="GG41" s="75"/>
      <c r="GH41" s="75"/>
      <c r="GI41" s="75"/>
      <c r="GJ41" s="75"/>
      <c r="GK41" s="75"/>
      <c r="GL41" s="75"/>
      <c r="GM41" s="75"/>
      <c r="GN41" s="75"/>
      <c r="GO41" s="75"/>
      <c r="GP41" s="75"/>
      <c r="GQ41" s="75"/>
      <c r="GR41" s="75"/>
      <c r="GS41" s="75"/>
      <c r="GT41" s="75"/>
      <c r="GU41" s="75"/>
      <c r="GV41" s="75"/>
      <c r="GW41" s="75"/>
      <c r="GX41" s="75"/>
      <c r="GY41" s="75"/>
      <c r="GZ41" s="75"/>
      <c r="HA41" s="75"/>
      <c r="HB41" s="75"/>
      <c r="HC41" s="75"/>
      <c r="HD41" s="75"/>
      <c r="HE41" s="75"/>
      <c r="HF41" s="75"/>
      <c r="HG41" s="75"/>
      <c r="HH41" s="75"/>
      <c r="HI41" s="75"/>
      <c r="HJ41" s="75"/>
      <c r="HK41" s="75"/>
      <c r="HL41" s="75"/>
      <c r="HM41" s="75"/>
      <c r="HN41" s="75"/>
      <c r="HO41" s="75"/>
      <c r="HP41" s="75"/>
      <c r="HQ41" s="75"/>
      <c r="HR41" s="75"/>
      <c r="HS41" s="75"/>
      <c r="HT41" s="75"/>
      <c r="HU41" s="75"/>
      <c r="HV41" s="75"/>
      <c r="HW41" s="75"/>
      <c r="HX41" s="75"/>
      <c r="HY41" s="75"/>
      <c r="HZ41" s="75"/>
      <c r="IA41" s="75"/>
      <c r="IB41" s="75"/>
      <c r="IC41" s="75"/>
      <c r="ID41" s="75"/>
      <c r="IE41" s="75"/>
      <c r="IF41" s="75"/>
      <c r="IG41" s="75"/>
      <c r="IH41" s="75"/>
      <c r="II41" s="75"/>
      <c r="IJ41" s="75"/>
      <c r="IK41" s="75"/>
      <c r="IL41" s="75"/>
      <c r="IM41" s="75"/>
      <c r="IN41" s="75"/>
      <c r="IO41" s="75"/>
      <c r="IP41" s="75"/>
      <c r="IQ41" s="75"/>
      <c r="IR41" s="75"/>
      <c r="IS41" s="75"/>
    </row>
    <row r="42" spans="1:253">
      <c r="A42" s="226" t="str">
        <f ca="1">Database_cortec!E41</f>
        <v>Two 1 Gbps RJ45 SFP transceivers 10/100BASE-TX/1000BASE-T Ethernet ports + Two 1 Gbps LC-type SFP transceivers multi mode fiber 1000BASE-SX Ethernet for up to 0.5 km</v>
      </c>
      <c r="B42" s="73"/>
      <c r="C42" s="73"/>
      <c r="D42" s="76"/>
      <c r="E42" s="68"/>
      <c r="F42" s="68"/>
      <c r="G42" s="68"/>
      <c r="H42" s="68"/>
      <c r="I42" s="68"/>
      <c r="J42" s="68"/>
      <c r="K42" s="227" t="str">
        <f ca="1">Database_cortec!F41</f>
        <v>K</v>
      </c>
      <c r="L42" s="237"/>
      <c r="M42" s="71"/>
      <c r="N42" s="69"/>
      <c r="O42" s="237"/>
      <c r="P42" s="71"/>
      <c r="Q42" s="69"/>
      <c r="R42" s="237"/>
      <c r="S42" s="71"/>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c r="EO42" s="75"/>
      <c r="EP42" s="75"/>
      <c r="EQ42" s="75"/>
      <c r="ER42" s="75"/>
      <c r="ES42" s="75"/>
      <c r="ET42" s="75"/>
      <c r="EU42" s="75"/>
      <c r="EV42" s="75"/>
      <c r="EW42" s="75"/>
      <c r="EX42" s="75"/>
      <c r="EY42" s="75"/>
      <c r="EZ42" s="75"/>
      <c r="FA42" s="75"/>
      <c r="FB42" s="75"/>
      <c r="FC42" s="75"/>
      <c r="FD42" s="75"/>
      <c r="FE42" s="75"/>
      <c r="FF42" s="75"/>
      <c r="FG42" s="75"/>
      <c r="FH42" s="75"/>
      <c r="FI42" s="75"/>
      <c r="FJ42" s="75"/>
      <c r="FK42" s="75"/>
      <c r="FL42" s="75"/>
      <c r="FM42" s="75"/>
      <c r="FN42" s="75"/>
      <c r="FO42" s="75"/>
      <c r="FP42" s="75"/>
      <c r="FQ42" s="75"/>
      <c r="FR42" s="75"/>
      <c r="FS42" s="75"/>
      <c r="FT42" s="75"/>
      <c r="FU42" s="75"/>
      <c r="FV42" s="75"/>
      <c r="FW42" s="75"/>
      <c r="FX42" s="75"/>
      <c r="FY42" s="75"/>
      <c r="FZ42" s="75"/>
      <c r="GA42" s="75"/>
      <c r="GB42" s="75"/>
      <c r="GC42" s="75"/>
      <c r="GD42" s="75"/>
      <c r="GE42" s="75"/>
      <c r="GF42" s="75"/>
      <c r="GG42" s="75"/>
      <c r="GH42" s="75"/>
      <c r="GI42" s="75"/>
      <c r="GJ42" s="75"/>
      <c r="GK42" s="75"/>
      <c r="GL42" s="75"/>
      <c r="GM42" s="75"/>
      <c r="GN42" s="75"/>
      <c r="GO42" s="75"/>
      <c r="GP42" s="75"/>
      <c r="GQ42" s="75"/>
      <c r="GR42" s="75"/>
      <c r="GS42" s="75"/>
      <c r="GT42" s="75"/>
      <c r="GU42" s="75"/>
      <c r="GV42" s="75"/>
      <c r="GW42" s="75"/>
      <c r="GX42" s="75"/>
      <c r="GY42" s="75"/>
      <c r="GZ42" s="75"/>
      <c r="HA42" s="75"/>
      <c r="HB42" s="75"/>
      <c r="HC42" s="75"/>
      <c r="HD42" s="75"/>
      <c r="HE42" s="75"/>
      <c r="HF42" s="75"/>
      <c r="HG42" s="75"/>
      <c r="HH42" s="75"/>
      <c r="HI42" s="75"/>
      <c r="HJ42" s="75"/>
      <c r="HK42" s="75"/>
      <c r="HL42" s="75"/>
      <c r="HM42" s="75"/>
      <c r="HN42" s="75"/>
      <c r="HO42" s="75"/>
      <c r="HP42" s="75"/>
      <c r="HQ42" s="75"/>
      <c r="HR42" s="75"/>
      <c r="HS42" s="75"/>
      <c r="HT42" s="75"/>
      <c r="HU42" s="75"/>
      <c r="HV42" s="75"/>
      <c r="HW42" s="75"/>
      <c r="HX42" s="75"/>
      <c r="HY42" s="75"/>
      <c r="HZ42" s="75"/>
      <c r="IA42" s="75"/>
      <c r="IB42" s="75"/>
      <c r="IC42" s="75"/>
      <c r="ID42" s="75"/>
      <c r="IE42" s="75"/>
      <c r="IF42" s="75"/>
      <c r="IG42" s="75"/>
      <c r="IH42" s="75"/>
      <c r="II42" s="75"/>
      <c r="IJ42" s="75"/>
      <c r="IK42" s="75"/>
      <c r="IL42" s="75"/>
      <c r="IM42" s="75"/>
      <c r="IN42" s="75"/>
      <c r="IO42" s="75"/>
      <c r="IP42" s="75"/>
      <c r="IQ42" s="75"/>
      <c r="IR42" s="75"/>
      <c r="IS42" s="75"/>
    </row>
    <row r="43" spans="1:253">
      <c r="A43" s="226" t="str">
        <f ca="1">Database_cortec!E42</f>
        <v>Two 1 Gbps RJ45 SFP transceivers 10/100BASE-TX/1000BASE-T Ethernet ports + Two 100 Mbps LC-type SFP transceivers multi mode fiber 100BASE-FX Ethernet for up to 2 km</v>
      </c>
      <c r="B43" s="73"/>
      <c r="C43" s="73"/>
      <c r="D43" s="76"/>
      <c r="E43" s="68"/>
      <c r="F43" s="68"/>
      <c r="G43" s="68"/>
      <c r="H43" s="68"/>
      <c r="I43" s="68"/>
      <c r="J43" s="68"/>
      <c r="K43" s="227" t="str">
        <f ca="1">Database_cortec!F42</f>
        <v>L</v>
      </c>
      <c r="L43" s="237"/>
      <c r="M43" s="71"/>
      <c r="N43" s="69"/>
      <c r="O43" s="237"/>
      <c r="P43" s="71"/>
      <c r="Q43" s="69"/>
      <c r="R43" s="237"/>
      <c r="S43" s="71"/>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c r="EO43" s="75"/>
      <c r="EP43" s="75"/>
      <c r="EQ43" s="75"/>
      <c r="ER43" s="75"/>
      <c r="ES43" s="75"/>
      <c r="ET43" s="75"/>
      <c r="EU43" s="75"/>
      <c r="EV43" s="75"/>
      <c r="EW43" s="75"/>
      <c r="EX43" s="75"/>
      <c r="EY43" s="75"/>
      <c r="EZ43" s="75"/>
      <c r="FA43" s="75"/>
      <c r="FB43" s="75"/>
      <c r="FC43" s="75"/>
      <c r="FD43" s="75"/>
      <c r="FE43" s="75"/>
      <c r="FF43" s="75"/>
      <c r="FG43" s="75"/>
      <c r="FH43" s="75"/>
      <c r="FI43" s="75"/>
      <c r="FJ43" s="75"/>
      <c r="FK43" s="75"/>
      <c r="FL43" s="75"/>
      <c r="FM43" s="75"/>
      <c r="FN43" s="75"/>
      <c r="FO43" s="75"/>
      <c r="FP43" s="75"/>
      <c r="FQ43" s="75"/>
      <c r="FR43" s="75"/>
      <c r="FS43" s="75"/>
      <c r="FT43" s="75"/>
      <c r="FU43" s="75"/>
      <c r="FV43" s="75"/>
      <c r="FW43" s="75"/>
      <c r="FX43" s="75"/>
      <c r="FY43" s="75"/>
      <c r="FZ43" s="75"/>
      <c r="GA43" s="75"/>
      <c r="GB43" s="75"/>
      <c r="GC43" s="75"/>
      <c r="GD43" s="75"/>
      <c r="GE43" s="75"/>
      <c r="GF43" s="75"/>
      <c r="GG43" s="75"/>
      <c r="GH43" s="75"/>
      <c r="GI43" s="75"/>
      <c r="GJ43" s="75"/>
      <c r="GK43" s="75"/>
      <c r="GL43" s="75"/>
      <c r="GM43" s="75"/>
      <c r="GN43" s="75"/>
      <c r="GO43" s="75"/>
      <c r="GP43" s="75"/>
      <c r="GQ43" s="75"/>
      <c r="GR43" s="75"/>
      <c r="GS43" s="75"/>
      <c r="GT43" s="75"/>
      <c r="GU43" s="75"/>
      <c r="GV43" s="75"/>
      <c r="GW43" s="75"/>
      <c r="GX43" s="75"/>
      <c r="GY43" s="75"/>
      <c r="GZ43" s="75"/>
      <c r="HA43" s="75"/>
      <c r="HB43" s="75"/>
      <c r="HC43" s="75"/>
      <c r="HD43" s="75"/>
      <c r="HE43" s="75"/>
      <c r="HF43" s="75"/>
      <c r="HG43" s="75"/>
      <c r="HH43" s="75"/>
      <c r="HI43" s="75"/>
      <c r="HJ43" s="75"/>
      <c r="HK43" s="75"/>
      <c r="HL43" s="75"/>
      <c r="HM43" s="75"/>
      <c r="HN43" s="75"/>
      <c r="HO43" s="75"/>
      <c r="HP43" s="75"/>
      <c r="HQ43" s="75"/>
      <c r="HR43" s="75"/>
      <c r="HS43" s="75"/>
      <c r="HT43" s="75"/>
      <c r="HU43" s="75"/>
      <c r="HV43" s="75"/>
      <c r="HW43" s="75"/>
      <c r="HX43" s="75"/>
      <c r="HY43" s="75"/>
      <c r="HZ43" s="75"/>
      <c r="IA43" s="75"/>
      <c r="IB43" s="75"/>
      <c r="IC43" s="75"/>
      <c r="ID43" s="75"/>
      <c r="IE43" s="75"/>
      <c r="IF43" s="75"/>
      <c r="IG43" s="75"/>
      <c r="IH43" s="75"/>
      <c r="II43" s="75"/>
      <c r="IJ43" s="75"/>
      <c r="IK43" s="75"/>
      <c r="IL43" s="75"/>
      <c r="IM43" s="75"/>
      <c r="IN43" s="75"/>
      <c r="IO43" s="75"/>
      <c r="IP43" s="75"/>
      <c r="IQ43" s="75"/>
      <c r="IR43" s="75"/>
      <c r="IS43" s="75"/>
    </row>
    <row r="44" spans="1:253">
      <c r="A44" s="226" t="str">
        <f ca="1">Database_cortec!E43</f>
        <v>Two 1 Gbps LC-type SFP transceivers multi mode fiber 1000BASE-SX Ethernet for up to 0.5 km + Two 100 Mbps LC-type SFP transceivers multi mode fiber 100BASE-FX Ethernet for up to 2 km</v>
      </c>
      <c r="B44" s="73"/>
      <c r="C44" s="73"/>
      <c r="D44" s="76"/>
      <c r="E44" s="68"/>
      <c r="F44" s="68"/>
      <c r="G44" s="68"/>
      <c r="H44" s="68"/>
      <c r="I44" s="68"/>
      <c r="J44" s="68"/>
      <c r="K44" s="227" t="str">
        <f ca="1">Database_cortec!F43</f>
        <v>M</v>
      </c>
      <c r="L44" s="237"/>
      <c r="M44" s="71"/>
      <c r="N44" s="69"/>
      <c r="O44" s="237"/>
      <c r="P44" s="71"/>
      <c r="Q44" s="69"/>
      <c r="R44" s="237"/>
      <c r="S44" s="71"/>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c r="EO44" s="75"/>
      <c r="EP44" s="75"/>
      <c r="EQ44" s="75"/>
      <c r="ER44" s="75"/>
      <c r="ES44" s="75"/>
      <c r="ET44" s="75"/>
      <c r="EU44" s="75"/>
      <c r="EV44" s="75"/>
      <c r="EW44" s="75"/>
      <c r="EX44" s="75"/>
      <c r="EY44" s="75"/>
      <c r="EZ44" s="75"/>
      <c r="FA44" s="75"/>
      <c r="FB44" s="75"/>
      <c r="FC44" s="75"/>
      <c r="FD44" s="75"/>
      <c r="FE44" s="75"/>
      <c r="FF44" s="75"/>
      <c r="FG44" s="75"/>
      <c r="FH44" s="75"/>
      <c r="FI44" s="75"/>
      <c r="FJ44" s="75"/>
      <c r="FK44" s="75"/>
      <c r="FL44" s="75"/>
      <c r="FM44" s="75"/>
      <c r="FN44" s="75"/>
      <c r="FO44" s="75"/>
      <c r="FP44" s="75"/>
      <c r="FQ44" s="75"/>
      <c r="FR44" s="75"/>
      <c r="FS44" s="75"/>
      <c r="FT44" s="75"/>
      <c r="FU44" s="75"/>
      <c r="FV44" s="75"/>
      <c r="FW44" s="75"/>
      <c r="FX44" s="75"/>
      <c r="FY44" s="75"/>
      <c r="FZ44" s="75"/>
      <c r="GA44" s="75"/>
      <c r="GB44" s="75"/>
      <c r="GC44" s="75"/>
      <c r="GD44" s="75"/>
      <c r="GE44" s="75"/>
      <c r="GF44" s="75"/>
      <c r="GG44" s="75"/>
      <c r="GH44" s="75"/>
      <c r="GI44" s="75"/>
      <c r="GJ44" s="75"/>
      <c r="GK44" s="75"/>
      <c r="GL44" s="75"/>
      <c r="GM44" s="75"/>
      <c r="GN44" s="75"/>
      <c r="GO44" s="75"/>
      <c r="GP44" s="75"/>
      <c r="GQ44" s="75"/>
      <c r="GR44" s="75"/>
      <c r="GS44" s="75"/>
      <c r="GT44" s="75"/>
      <c r="GU44" s="75"/>
      <c r="GV44" s="75"/>
      <c r="GW44" s="75"/>
      <c r="GX44" s="75"/>
      <c r="GY44" s="75"/>
      <c r="GZ44" s="75"/>
      <c r="HA44" s="75"/>
      <c r="HB44" s="75"/>
      <c r="HC44" s="75"/>
      <c r="HD44" s="75"/>
      <c r="HE44" s="75"/>
      <c r="HF44" s="75"/>
      <c r="HG44" s="75"/>
      <c r="HH44" s="75"/>
      <c r="HI44" s="75"/>
      <c r="HJ44" s="75"/>
      <c r="HK44" s="75"/>
      <c r="HL44" s="75"/>
      <c r="HM44" s="75"/>
      <c r="HN44" s="75"/>
      <c r="HO44" s="75"/>
      <c r="HP44" s="75"/>
      <c r="HQ44" s="75"/>
      <c r="HR44" s="75"/>
      <c r="HS44" s="75"/>
      <c r="HT44" s="75"/>
      <c r="HU44" s="75"/>
      <c r="HV44" s="75"/>
      <c r="HW44" s="75"/>
      <c r="HX44" s="75"/>
      <c r="HY44" s="75"/>
      <c r="HZ44" s="75"/>
      <c r="IA44" s="75"/>
      <c r="IB44" s="75"/>
      <c r="IC44" s="75"/>
      <c r="ID44" s="75"/>
      <c r="IE44" s="75"/>
      <c r="IF44" s="75"/>
      <c r="IG44" s="75"/>
      <c r="IH44" s="75"/>
      <c r="II44" s="75"/>
      <c r="IJ44" s="75"/>
      <c r="IK44" s="75"/>
      <c r="IL44" s="75"/>
      <c r="IM44" s="75"/>
      <c r="IN44" s="75"/>
      <c r="IO44" s="75"/>
      <c r="IP44" s="75"/>
      <c r="IQ44" s="75"/>
      <c r="IR44" s="75"/>
      <c r="IS44" s="75"/>
    </row>
    <row r="45" spans="1:253">
      <c r="A45" s="72"/>
      <c r="B45" s="73"/>
      <c r="C45" s="73"/>
      <c r="D45" s="76"/>
      <c r="E45" s="68"/>
      <c r="F45" s="68"/>
      <c r="G45" s="68"/>
      <c r="H45" s="68"/>
      <c r="I45" s="68"/>
      <c r="J45" s="68"/>
      <c r="K45" s="68"/>
      <c r="L45" s="237"/>
      <c r="M45" s="71"/>
      <c r="N45" s="69"/>
      <c r="O45" s="237"/>
      <c r="P45" s="71"/>
      <c r="Q45" s="69"/>
      <c r="R45" s="237"/>
      <c r="S45" s="71"/>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c r="EO45" s="75"/>
      <c r="EP45" s="75"/>
      <c r="EQ45" s="75"/>
      <c r="ER45" s="75"/>
      <c r="ES45" s="75"/>
      <c r="ET45" s="75"/>
      <c r="EU45" s="75"/>
      <c r="EV45" s="75"/>
      <c r="EW45" s="75"/>
      <c r="EX45" s="75"/>
      <c r="EY45" s="75"/>
      <c r="EZ45" s="75"/>
      <c r="FA45" s="75"/>
      <c r="FB45" s="75"/>
      <c r="FC45" s="75"/>
      <c r="FD45" s="75"/>
      <c r="FE45" s="75"/>
      <c r="FF45" s="75"/>
      <c r="FG45" s="75"/>
      <c r="FH45" s="75"/>
      <c r="FI45" s="75"/>
      <c r="FJ45" s="75"/>
      <c r="FK45" s="75"/>
      <c r="FL45" s="75"/>
      <c r="FM45" s="75"/>
      <c r="FN45" s="75"/>
      <c r="FO45" s="75"/>
      <c r="FP45" s="75"/>
      <c r="FQ45" s="75"/>
      <c r="FR45" s="75"/>
      <c r="FS45" s="75"/>
      <c r="FT45" s="75"/>
      <c r="FU45" s="75"/>
      <c r="FV45" s="75"/>
      <c r="FW45" s="75"/>
      <c r="FX45" s="75"/>
      <c r="FY45" s="75"/>
      <c r="FZ45" s="75"/>
      <c r="GA45" s="75"/>
      <c r="GB45" s="75"/>
      <c r="GC45" s="75"/>
      <c r="GD45" s="75"/>
      <c r="GE45" s="75"/>
      <c r="GF45" s="75"/>
      <c r="GG45" s="75"/>
      <c r="GH45" s="75"/>
      <c r="GI45" s="75"/>
      <c r="GJ45" s="75"/>
      <c r="GK45" s="75"/>
      <c r="GL45" s="75"/>
      <c r="GM45" s="75"/>
      <c r="GN45" s="75"/>
      <c r="GO45" s="75"/>
      <c r="GP45" s="75"/>
      <c r="GQ45" s="75"/>
      <c r="GR45" s="75"/>
      <c r="GS45" s="75"/>
      <c r="GT45" s="75"/>
      <c r="GU45" s="75"/>
      <c r="GV45" s="75"/>
      <c r="GW45" s="75"/>
      <c r="GX45" s="75"/>
      <c r="GY45" s="75"/>
      <c r="GZ45" s="75"/>
      <c r="HA45" s="75"/>
      <c r="HB45" s="75"/>
      <c r="HC45" s="75"/>
      <c r="HD45" s="75"/>
      <c r="HE45" s="75"/>
      <c r="HF45" s="75"/>
      <c r="HG45" s="75"/>
      <c r="HH45" s="75"/>
      <c r="HI45" s="75"/>
      <c r="HJ45" s="75"/>
      <c r="HK45" s="75"/>
      <c r="HL45" s="75"/>
      <c r="HM45" s="75"/>
      <c r="HN45" s="75"/>
      <c r="HO45" s="75"/>
      <c r="HP45" s="75"/>
      <c r="HQ45" s="75"/>
      <c r="HR45" s="75"/>
      <c r="HS45" s="75"/>
      <c r="HT45" s="75"/>
      <c r="HU45" s="75"/>
      <c r="HV45" s="75"/>
      <c r="HW45" s="75"/>
      <c r="HX45" s="75"/>
      <c r="HY45" s="75"/>
      <c r="HZ45" s="75"/>
      <c r="IA45" s="75"/>
      <c r="IB45" s="75"/>
      <c r="IC45" s="75"/>
      <c r="ID45" s="75"/>
      <c r="IE45" s="75"/>
      <c r="IF45" s="75"/>
      <c r="IG45" s="75"/>
      <c r="IH45" s="75"/>
      <c r="II45" s="75"/>
      <c r="IJ45" s="75"/>
      <c r="IK45" s="75"/>
      <c r="IL45" s="75"/>
      <c r="IM45" s="75"/>
      <c r="IN45" s="75"/>
      <c r="IO45" s="75"/>
      <c r="IP45" s="75"/>
      <c r="IQ45" s="75"/>
      <c r="IR45" s="75"/>
      <c r="IS45" s="75"/>
    </row>
    <row r="46" spans="1:253" ht="13">
      <c r="A46" s="77" t="str">
        <f>Database_cortec!B46</f>
        <v>Interface Module 2</v>
      </c>
      <c r="B46" s="61"/>
      <c r="C46" s="61"/>
      <c r="D46" s="78"/>
      <c r="E46" s="67"/>
      <c r="F46" s="67"/>
      <c r="G46" s="67"/>
      <c r="H46" s="67"/>
      <c r="I46" s="67"/>
      <c r="J46" s="67"/>
      <c r="K46" s="67"/>
      <c r="L46" s="237"/>
      <c r="M46" s="71"/>
      <c r="N46" s="69"/>
      <c r="O46" s="237"/>
      <c r="P46" s="71"/>
      <c r="Q46" s="69"/>
      <c r="R46" s="237"/>
      <c r="S46" s="71"/>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c r="EO46" s="75"/>
      <c r="EP46" s="75"/>
      <c r="EQ46" s="75"/>
      <c r="ER46" s="75"/>
      <c r="ES46" s="75"/>
      <c r="ET46" s="75"/>
      <c r="EU46" s="75"/>
      <c r="EV46" s="75"/>
      <c r="EW46" s="75"/>
      <c r="EX46" s="75"/>
      <c r="EY46" s="75"/>
      <c r="EZ46" s="75"/>
      <c r="FA46" s="75"/>
      <c r="FB46" s="75"/>
      <c r="FC46" s="75"/>
      <c r="FD46" s="75"/>
      <c r="FE46" s="75"/>
      <c r="FF46" s="75"/>
      <c r="FG46" s="75"/>
      <c r="FH46" s="75"/>
      <c r="FI46" s="75"/>
      <c r="FJ46" s="75"/>
      <c r="FK46" s="75"/>
      <c r="FL46" s="75"/>
      <c r="FM46" s="75"/>
      <c r="FN46" s="75"/>
      <c r="FO46" s="75"/>
      <c r="FP46" s="75"/>
      <c r="FQ46" s="75"/>
      <c r="FR46" s="75"/>
      <c r="FS46" s="75"/>
      <c r="FT46" s="75"/>
      <c r="FU46" s="75"/>
      <c r="FV46" s="75"/>
      <c r="FW46" s="75"/>
      <c r="FX46" s="75"/>
      <c r="FY46" s="75"/>
      <c r="FZ46" s="75"/>
      <c r="GA46" s="75"/>
      <c r="GB46" s="75"/>
      <c r="GC46" s="75"/>
      <c r="GD46" s="75"/>
      <c r="GE46" s="75"/>
      <c r="GF46" s="75"/>
      <c r="GG46" s="75"/>
      <c r="GH46" s="75"/>
      <c r="GI46" s="75"/>
      <c r="GJ46" s="75"/>
      <c r="GK46" s="75"/>
      <c r="GL46" s="75"/>
      <c r="GM46" s="75"/>
      <c r="GN46" s="75"/>
      <c r="GO46" s="75"/>
      <c r="GP46" s="75"/>
      <c r="GQ46" s="75"/>
      <c r="GR46" s="75"/>
      <c r="GS46" s="75"/>
      <c r="GT46" s="75"/>
      <c r="GU46" s="75"/>
      <c r="GV46" s="75"/>
      <c r="GW46" s="75"/>
      <c r="GX46" s="75"/>
      <c r="GY46" s="75"/>
      <c r="GZ46" s="75"/>
      <c r="HA46" s="75"/>
      <c r="HB46" s="75"/>
      <c r="HC46" s="75"/>
      <c r="HD46" s="75"/>
      <c r="HE46" s="75"/>
      <c r="HF46" s="75"/>
      <c r="HG46" s="75"/>
      <c r="HH46" s="75"/>
      <c r="HI46" s="75"/>
      <c r="HJ46" s="75"/>
      <c r="HK46" s="75"/>
      <c r="HL46" s="75"/>
      <c r="HM46" s="75"/>
      <c r="HN46" s="75"/>
      <c r="HO46" s="75"/>
      <c r="HP46" s="75"/>
      <c r="HQ46" s="75"/>
      <c r="HR46" s="75"/>
      <c r="HS46" s="75"/>
      <c r="HT46" s="75"/>
      <c r="HU46" s="75"/>
      <c r="HV46" s="75"/>
      <c r="HW46" s="75"/>
      <c r="HX46" s="75"/>
      <c r="HY46" s="75"/>
      <c r="HZ46" s="75"/>
      <c r="IA46" s="75"/>
      <c r="IB46" s="75"/>
      <c r="IC46" s="75"/>
      <c r="ID46" s="75"/>
      <c r="IE46" s="75"/>
      <c r="IF46" s="75"/>
      <c r="IG46" s="75"/>
      <c r="IH46" s="75"/>
      <c r="II46" s="75"/>
      <c r="IJ46" s="75"/>
      <c r="IK46" s="75"/>
      <c r="IL46" s="75"/>
      <c r="IM46" s="75"/>
      <c r="IN46" s="75"/>
      <c r="IO46" s="75"/>
      <c r="IP46" s="75"/>
      <c r="IQ46" s="75"/>
      <c r="IR46" s="75"/>
      <c r="IS46" s="75"/>
    </row>
    <row r="47" spans="1:253">
      <c r="A47" s="72" t="str">
        <f ca="1">CONCATENATE(Database_cortec!E47,"*")</f>
        <v>Four 1 Gbps RJ45 copper 10/100BASE-TX/1000BASE-T Ethernet ports*</v>
      </c>
      <c r="B47" s="73"/>
      <c r="C47" s="73"/>
      <c r="D47" s="76"/>
      <c r="E47" s="68"/>
      <c r="F47" s="68"/>
      <c r="G47" s="68"/>
      <c r="H47" s="68"/>
      <c r="I47" s="68"/>
      <c r="J47" s="68"/>
      <c r="K47" s="68"/>
      <c r="L47" s="79" t="str">
        <f ca="1">Database_cortec!F47</f>
        <v>A</v>
      </c>
      <c r="M47" s="71"/>
      <c r="N47" s="69"/>
      <c r="O47" s="237"/>
      <c r="P47" s="71"/>
      <c r="Q47" s="69"/>
      <c r="R47" s="237"/>
      <c r="S47" s="71"/>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c r="EO47" s="75"/>
      <c r="EP47" s="75"/>
      <c r="EQ47" s="75"/>
      <c r="ER47" s="75"/>
      <c r="ES47" s="75"/>
      <c r="ET47" s="75"/>
      <c r="EU47" s="75"/>
      <c r="EV47" s="75"/>
      <c r="EW47" s="75"/>
      <c r="EX47" s="75"/>
      <c r="EY47" s="75"/>
      <c r="EZ47" s="75"/>
      <c r="FA47" s="75"/>
      <c r="FB47" s="75"/>
      <c r="FC47" s="75"/>
      <c r="FD47" s="75"/>
      <c r="FE47" s="75"/>
      <c r="FF47" s="75"/>
      <c r="FG47" s="75"/>
      <c r="FH47" s="75"/>
      <c r="FI47" s="75"/>
      <c r="FJ47" s="75"/>
      <c r="FK47" s="75"/>
      <c r="FL47" s="75"/>
      <c r="FM47" s="75"/>
      <c r="FN47" s="75"/>
      <c r="FO47" s="75"/>
      <c r="FP47" s="75"/>
      <c r="FQ47" s="75"/>
      <c r="FR47" s="75"/>
      <c r="FS47" s="75"/>
      <c r="FT47" s="75"/>
      <c r="FU47" s="75"/>
      <c r="FV47" s="75"/>
      <c r="FW47" s="75"/>
      <c r="FX47" s="75"/>
      <c r="FY47" s="75"/>
      <c r="FZ47" s="75"/>
      <c r="GA47" s="75"/>
      <c r="GB47" s="75"/>
      <c r="GC47" s="75"/>
      <c r="GD47" s="75"/>
      <c r="GE47" s="75"/>
      <c r="GF47" s="75"/>
      <c r="GG47" s="75"/>
      <c r="GH47" s="75"/>
      <c r="GI47" s="75"/>
      <c r="GJ47" s="75"/>
      <c r="GK47" s="75"/>
      <c r="GL47" s="75"/>
      <c r="GM47" s="75"/>
      <c r="GN47" s="75"/>
      <c r="GO47" s="75"/>
      <c r="GP47" s="75"/>
      <c r="GQ47" s="75"/>
      <c r="GR47" s="75"/>
      <c r="GS47" s="75"/>
      <c r="GT47" s="75"/>
      <c r="GU47" s="75"/>
      <c r="GV47" s="75"/>
      <c r="GW47" s="75"/>
      <c r="GX47" s="75"/>
      <c r="GY47" s="75"/>
      <c r="GZ47" s="75"/>
      <c r="HA47" s="75"/>
      <c r="HB47" s="75"/>
      <c r="HC47" s="75"/>
      <c r="HD47" s="75"/>
      <c r="HE47" s="75"/>
      <c r="HF47" s="75"/>
      <c r="HG47" s="75"/>
      <c r="HH47" s="75"/>
      <c r="HI47" s="75"/>
      <c r="HJ47" s="75"/>
      <c r="HK47" s="75"/>
      <c r="HL47" s="75"/>
      <c r="HM47" s="75"/>
      <c r="HN47" s="75"/>
      <c r="HO47" s="75"/>
      <c r="HP47" s="75"/>
      <c r="HQ47" s="75"/>
      <c r="HR47" s="75"/>
      <c r="HS47" s="75"/>
      <c r="HT47" s="75"/>
      <c r="HU47" s="75"/>
      <c r="HV47" s="75"/>
      <c r="HW47" s="75"/>
      <c r="HX47" s="75"/>
      <c r="HY47" s="75"/>
      <c r="HZ47" s="75"/>
      <c r="IA47" s="75"/>
      <c r="IB47" s="75"/>
      <c r="IC47" s="75"/>
      <c r="ID47" s="75"/>
      <c r="IE47" s="75"/>
      <c r="IF47" s="75"/>
      <c r="IG47" s="75"/>
      <c r="IH47" s="75"/>
      <c r="II47" s="75"/>
      <c r="IJ47" s="75"/>
      <c r="IK47" s="75"/>
      <c r="IL47" s="75"/>
      <c r="IM47" s="75"/>
      <c r="IN47" s="75"/>
      <c r="IO47" s="75"/>
      <c r="IP47" s="75"/>
      <c r="IQ47" s="75"/>
      <c r="IR47" s="75"/>
      <c r="IS47" s="75"/>
    </row>
    <row r="48" spans="1:253">
      <c r="A48" s="226" t="str">
        <f ca="1">Database_cortec!E48</f>
        <v>Four slots for SFP transceivers (Up to 1 Gbps in the 24 ports model / Up to 100 Mbps in the 20 ports model)</v>
      </c>
      <c r="B48" s="73"/>
      <c r="C48" s="73"/>
      <c r="D48" s="76"/>
      <c r="E48" s="68"/>
      <c r="F48" s="68"/>
      <c r="G48" s="68"/>
      <c r="H48" s="68"/>
      <c r="I48" s="68"/>
      <c r="J48" s="68"/>
      <c r="K48" s="68"/>
      <c r="L48" s="227" t="str">
        <f ca="1">Database_cortec!F48</f>
        <v>B</v>
      </c>
      <c r="M48" s="71"/>
      <c r="N48" s="69"/>
      <c r="O48" s="237"/>
      <c r="P48" s="71"/>
      <c r="Q48" s="69"/>
      <c r="R48" s="237"/>
      <c r="S48" s="71"/>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c r="EO48" s="75"/>
      <c r="EP48" s="75"/>
      <c r="EQ48" s="75"/>
      <c r="ER48" s="75"/>
      <c r="ES48" s="75"/>
      <c r="ET48" s="75"/>
      <c r="EU48" s="75"/>
      <c r="EV48" s="75"/>
      <c r="EW48" s="75"/>
      <c r="EX48" s="75"/>
      <c r="EY48" s="75"/>
      <c r="EZ48" s="75"/>
      <c r="FA48" s="75"/>
      <c r="FB48" s="75"/>
      <c r="FC48" s="75"/>
      <c r="FD48" s="75"/>
      <c r="FE48" s="75"/>
      <c r="FF48" s="75"/>
      <c r="FG48" s="75"/>
      <c r="FH48" s="75"/>
      <c r="FI48" s="75"/>
      <c r="FJ48" s="75"/>
      <c r="FK48" s="75"/>
      <c r="FL48" s="75"/>
      <c r="FM48" s="75"/>
      <c r="FN48" s="75"/>
      <c r="FO48" s="75"/>
      <c r="FP48" s="75"/>
      <c r="FQ48" s="75"/>
      <c r="FR48" s="75"/>
      <c r="FS48" s="75"/>
      <c r="FT48" s="75"/>
      <c r="FU48" s="75"/>
      <c r="FV48" s="75"/>
      <c r="FW48" s="75"/>
      <c r="FX48" s="75"/>
      <c r="FY48" s="75"/>
      <c r="FZ48" s="75"/>
      <c r="GA48" s="75"/>
      <c r="GB48" s="75"/>
      <c r="GC48" s="75"/>
      <c r="GD48" s="75"/>
      <c r="GE48" s="75"/>
      <c r="GF48" s="75"/>
      <c r="GG48" s="75"/>
      <c r="GH48" s="75"/>
      <c r="GI48" s="75"/>
      <c r="GJ48" s="75"/>
      <c r="GK48" s="75"/>
      <c r="GL48" s="75"/>
      <c r="GM48" s="75"/>
      <c r="GN48" s="75"/>
      <c r="GO48" s="75"/>
      <c r="GP48" s="75"/>
      <c r="GQ48" s="75"/>
      <c r="GR48" s="75"/>
      <c r="GS48" s="75"/>
      <c r="GT48" s="75"/>
      <c r="GU48" s="75"/>
      <c r="GV48" s="75"/>
      <c r="GW48" s="75"/>
      <c r="GX48" s="75"/>
      <c r="GY48" s="75"/>
      <c r="GZ48" s="75"/>
      <c r="HA48" s="75"/>
      <c r="HB48" s="75"/>
      <c r="HC48" s="75"/>
      <c r="HD48" s="75"/>
      <c r="HE48" s="75"/>
      <c r="HF48" s="75"/>
      <c r="HG48" s="75"/>
      <c r="HH48" s="75"/>
      <c r="HI48" s="75"/>
      <c r="HJ48" s="75"/>
      <c r="HK48" s="75"/>
      <c r="HL48" s="75"/>
      <c r="HM48" s="75"/>
      <c r="HN48" s="75"/>
      <c r="HO48" s="75"/>
      <c r="HP48" s="75"/>
      <c r="HQ48" s="75"/>
      <c r="HR48" s="75"/>
      <c r="HS48" s="75"/>
      <c r="HT48" s="75"/>
      <c r="HU48" s="75"/>
      <c r="HV48" s="75"/>
      <c r="HW48" s="75"/>
      <c r="HX48" s="75"/>
      <c r="HY48" s="75"/>
      <c r="HZ48" s="75"/>
      <c r="IA48" s="75"/>
      <c r="IB48" s="75"/>
      <c r="IC48" s="75"/>
      <c r="ID48" s="75"/>
      <c r="IE48" s="75"/>
      <c r="IF48" s="75"/>
      <c r="IG48" s="75"/>
      <c r="IH48" s="75"/>
      <c r="II48" s="75"/>
      <c r="IJ48" s="75"/>
      <c r="IK48" s="75"/>
      <c r="IL48" s="75"/>
      <c r="IM48" s="75"/>
      <c r="IN48" s="75"/>
      <c r="IO48" s="75"/>
      <c r="IP48" s="75"/>
      <c r="IQ48" s="75"/>
      <c r="IR48" s="75"/>
      <c r="IS48" s="75"/>
    </row>
    <row r="49" spans="1:253">
      <c r="A49" s="226" t="str">
        <f ca="1">CONCATENATE(Database_cortec!E49,"*")</f>
        <v>Four 1 Gbps LC-type SFP transceivers multi mode fiber 1000BASE-SX Ethernet for up to 0.5 km*</v>
      </c>
      <c r="B49" s="73"/>
      <c r="C49" s="73"/>
      <c r="D49" s="76"/>
      <c r="E49" s="68"/>
      <c r="F49" s="68"/>
      <c r="G49" s="68"/>
      <c r="H49" s="68"/>
      <c r="I49" s="68"/>
      <c r="J49" s="68"/>
      <c r="K49" s="68"/>
      <c r="L49" s="227" t="str">
        <f ca="1">Database_cortec!F49</f>
        <v>C</v>
      </c>
      <c r="M49" s="71"/>
      <c r="N49" s="69"/>
      <c r="O49" s="237"/>
      <c r="P49" s="71"/>
      <c r="Q49" s="69"/>
      <c r="R49" s="237"/>
      <c r="S49" s="71"/>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c r="EO49" s="75"/>
      <c r="EP49" s="75"/>
      <c r="EQ49" s="75"/>
      <c r="ER49" s="75"/>
      <c r="ES49" s="75"/>
      <c r="ET49" s="75"/>
      <c r="EU49" s="75"/>
      <c r="EV49" s="75"/>
      <c r="EW49" s="75"/>
      <c r="EX49" s="75"/>
      <c r="EY49" s="75"/>
      <c r="EZ49" s="75"/>
      <c r="FA49" s="75"/>
      <c r="FB49" s="75"/>
      <c r="FC49" s="75"/>
      <c r="FD49" s="75"/>
      <c r="FE49" s="75"/>
      <c r="FF49" s="75"/>
      <c r="FG49" s="75"/>
      <c r="FH49" s="75"/>
      <c r="FI49" s="75"/>
      <c r="FJ49" s="75"/>
      <c r="FK49" s="75"/>
      <c r="FL49" s="75"/>
      <c r="FM49" s="75"/>
      <c r="FN49" s="75"/>
      <c r="FO49" s="75"/>
      <c r="FP49" s="75"/>
      <c r="FQ49" s="75"/>
      <c r="FR49" s="75"/>
      <c r="FS49" s="75"/>
      <c r="FT49" s="75"/>
      <c r="FU49" s="75"/>
      <c r="FV49" s="75"/>
      <c r="FW49" s="75"/>
      <c r="FX49" s="75"/>
      <c r="FY49" s="75"/>
      <c r="FZ49" s="75"/>
      <c r="GA49" s="75"/>
      <c r="GB49" s="75"/>
      <c r="GC49" s="75"/>
      <c r="GD49" s="75"/>
      <c r="GE49" s="75"/>
      <c r="GF49" s="75"/>
      <c r="GG49" s="75"/>
      <c r="GH49" s="75"/>
      <c r="GI49" s="75"/>
      <c r="GJ49" s="75"/>
      <c r="GK49" s="75"/>
      <c r="GL49" s="75"/>
      <c r="GM49" s="75"/>
      <c r="GN49" s="75"/>
      <c r="GO49" s="75"/>
      <c r="GP49" s="75"/>
      <c r="GQ49" s="75"/>
      <c r="GR49" s="75"/>
      <c r="GS49" s="75"/>
      <c r="GT49" s="75"/>
      <c r="GU49" s="75"/>
      <c r="GV49" s="75"/>
      <c r="GW49" s="75"/>
      <c r="GX49" s="75"/>
      <c r="GY49" s="75"/>
      <c r="GZ49" s="75"/>
      <c r="HA49" s="75"/>
      <c r="HB49" s="75"/>
      <c r="HC49" s="75"/>
      <c r="HD49" s="75"/>
      <c r="HE49" s="75"/>
      <c r="HF49" s="75"/>
      <c r="HG49" s="75"/>
      <c r="HH49" s="75"/>
      <c r="HI49" s="75"/>
      <c r="HJ49" s="75"/>
      <c r="HK49" s="75"/>
      <c r="HL49" s="75"/>
      <c r="HM49" s="75"/>
      <c r="HN49" s="75"/>
      <c r="HO49" s="75"/>
      <c r="HP49" s="75"/>
      <c r="HQ49" s="75"/>
      <c r="HR49" s="75"/>
      <c r="HS49" s="75"/>
      <c r="HT49" s="75"/>
      <c r="HU49" s="75"/>
      <c r="HV49" s="75"/>
      <c r="HW49" s="75"/>
      <c r="HX49" s="75"/>
      <c r="HY49" s="75"/>
      <c r="HZ49" s="75"/>
      <c r="IA49" s="75"/>
      <c r="IB49" s="75"/>
      <c r="IC49" s="75"/>
      <c r="ID49" s="75"/>
      <c r="IE49" s="75"/>
      <c r="IF49" s="75"/>
      <c r="IG49" s="75"/>
      <c r="IH49" s="75"/>
      <c r="II49" s="75"/>
      <c r="IJ49" s="75"/>
      <c r="IK49" s="75"/>
      <c r="IL49" s="75"/>
      <c r="IM49" s="75"/>
      <c r="IN49" s="75"/>
      <c r="IO49" s="75"/>
      <c r="IP49" s="75"/>
      <c r="IQ49" s="75"/>
      <c r="IR49" s="75"/>
      <c r="IS49" s="75"/>
    </row>
    <row r="50" spans="1:253">
      <c r="A50" s="226" t="str">
        <f ca="1">CONCATENATE(Database_cortec!E50,"*")</f>
        <v>Four 1 Gbps LC-type SFP transceivers single mode fiber 1000BASE-LX Ethernet for up to 20 km*</v>
      </c>
      <c r="B50" s="73"/>
      <c r="C50" s="73"/>
      <c r="D50" s="76"/>
      <c r="E50" s="68"/>
      <c r="F50" s="68"/>
      <c r="G50" s="68"/>
      <c r="H50" s="68"/>
      <c r="I50" s="68"/>
      <c r="J50" s="68"/>
      <c r="K50" s="68"/>
      <c r="L50" s="227" t="str">
        <f ca="1">Database_cortec!F50</f>
        <v>D</v>
      </c>
      <c r="M50" s="71"/>
      <c r="N50" s="69"/>
      <c r="O50" s="237"/>
      <c r="P50" s="71"/>
      <c r="Q50" s="69"/>
      <c r="R50" s="237"/>
      <c r="S50" s="71"/>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c r="EO50" s="75"/>
      <c r="EP50" s="75"/>
      <c r="EQ50" s="75"/>
      <c r="ER50" s="75"/>
      <c r="ES50" s="75"/>
      <c r="ET50" s="75"/>
      <c r="EU50" s="75"/>
      <c r="EV50" s="75"/>
      <c r="EW50" s="75"/>
      <c r="EX50" s="75"/>
      <c r="EY50" s="75"/>
      <c r="EZ50" s="75"/>
      <c r="FA50" s="75"/>
      <c r="FB50" s="75"/>
      <c r="FC50" s="75"/>
      <c r="FD50" s="75"/>
      <c r="FE50" s="75"/>
      <c r="FF50" s="75"/>
      <c r="FG50" s="75"/>
      <c r="FH50" s="75"/>
      <c r="FI50" s="75"/>
      <c r="FJ50" s="75"/>
      <c r="FK50" s="75"/>
      <c r="FL50" s="75"/>
      <c r="FM50" s="75"/>
      <c r="FN50" s="75"/>
      <c r="FO50" s="75"/>
      <c r="FP50" s="75"/>
      <c r="FQ50" s="75"/>
      <c r="FR50" s="75"/>
      <c r="FS50" s="75"/>
      <c r="FT50" s="75"/>
      <c r="FU50" s="75"/>
      <c r="FV50" s="75"/>
      <c r="FW50" s="75"/>
      <c r="FX50" s="75"/>
      <c r="FY50" s="75"/>
      <c r="FZ50" s="75"/>
      <c r="GA50" s="75"/>
      <c r="GB50" s="75"/>
      <c r="GC50" s="75"/>
      <c r="GD50" s="75"/>
      <c r="GE50" s="75"/>
      <c r="GF50" s="75"/>
      <c r="GG50" s="75"/>
      <c r="GH50" s="75"/>
      <c r="GI50" s="75"/>
      <c r="GJ50" s="75"/>
      <c r="GK50" s="75"/>
      <c r="GL50" s="75"/>
      <c r="GM50" s="75"/>
      <c r="GN50" s="75"/>
      <c r="GO50" s="75"/>
      <c r="GP50" s="75"/>
      <c r="GQ50" s="75"/>
      <c r="GR50" s="75"/>
      <c r="GS50" s="75"/>
      <c r="GT50" s="75"/>
      <c r="GU50" s="75"/>
      <c r="GV50" s="75"/>
      <c r="GW50" s="75"/>
      <c r="GX50" s="75"/>
      <c r="GY50" s="75"/>
      <c r="GZ50" s="75"/>
      <c r="HA50" s="75"/>
      <c r="HB50" s="75"/>
      <c r="HC50" s="75"/>
      <c r="HD50" s="75"/>
      <c r="HE50" s="75"/>
      <c r="HF50" s="75"/>
      <c r="HG50" s="75"/>
      <c r="HH50" s="75"/>
      <c r="HI50" s="75"/>
      <c r="HJ50" s="75"/>
      <c r="HK50" s="75"/>
      <c r="HL50" s="75"/>
      <c r="HM50" s="75"/>
      <c r="HN50" s="75"/>
      <c r="HO50" s="75"/>
      <c r="HP50" s="75"/>
      <c r="HQ50" s="75"/>
      <c r="HR50" s="75"/>
      <c r="HS50" s="75"/>
      <c r="HT50" s="75"/>
      <c r="HU50" s="75"/>
      <c r="HV50" s="75"/>
      <c r="HW50" s="75"/>
      <c r="HX50" s="75"/>
      <c r="HY50" s="75"/>
      <c r="HZ50" s="75"/>
      <c r="IA50" s="75"/>
      <c r="IB50" s="75"/>
      <c r="IC50" s="75"/>
      <c r="ID50" s="75"/>
      <c r="IE50" s="75"/>
      <c r="IF50" s="75"/>
      <c r="IG50" s="75"/>
      <c r="IH50" s="75"/>
      <c r="II50" s="75"/>
      <c r="IJ50" s="75"/>
      <c r="IK50" s="75"/>
      <c r="IL50" s="75"/>
      <c r="IM50" s="75"/>
      <c r="IN50" s="75"/>
      <c r="IO50" s="75"/>
      <c r="IP50" s="75"/>
      <c r="IQ50" s="75"/>
      <c r="IR50" s="75"/>
      <c r="IS50" s="75"/>
    </row>
    <row r="51" spans="1:253">
      <c r="A51" s="226" t="str">
        <f ca="1">CONCATENATE(Database_cortec!E51,"*")</f>
        <v>Four 1 Gbps LC-type SFP transceivers single mode fiber 1000BASE-ZX Ethernet for up to 40 km*</v>
      </c>
      <c r="B51" s="73"/>
      <c r="C51" s="73"/>
      <c r="D51" s="76"/>
      <c r="E51" s="68"/>
      <c r="F51" s="68"/>
      <c r="G51" s="68"/>
      <c r="H51" s="68"/>
      <c r="I51" s="68"/>
      <c r="J51" s="68"/>
      <c r="K51" s="68"/>
      <c r="L51" s="227" t="str">
        <f ca="1">Database_cortec!F51</f>
        <v>E</v>
      </c>
      <c r="M51" s="71"/>
      <c r="N51" s="69"/>
      <c r="O51" s="237"/>
      <c r="P51" s="71"/>
      <c r="Q51" s="69"/>
      <c r="R51" s="237"/>
      <c r="S51" s="71"/>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c r="EO51" s="75"/>
      <c r="EP51" s="75"/>
      <c r="EQ51" s="75"/>
      <c r="ER51" s="75"/>
      <c r="ES51" s="75"/>
      <c r="ET51" s="75"/>
      <c r="EU51" s="75"/>
      <c r="EV51" s="75"/>
      <c r="EW51" s="75"/>
      <c r="EX51" s="75"/>
      <c r="EY51" s="75"/>
      <c r="EZ51" s="75"/>
      <c r="FA51" s="75"/>
      <c r="FB51" s="75"/>
      <c r="FC51" s="75"/>
      <c r="FD51" s="75"/>
      <c r="FE51" s="75"/>
      <c r="FF51" s="75"/>
      <c r="FG51" s="75"/>
      <c r="FH51" s="75"/>
      <c r="FI51" s="75"/>
      <c r="FJ51" s="75"/>
      <c r="FK51" s="75"/>
      <c r="FL51" s="75"/>
      <c r="FM51" s="75"/>
      <c r="FN51" s="75"/>
      <c r="FO51" s="75"/>
      <c r="FP51" s="75"/>
      <c r="FQ51" s="75"/>
      <c r="FR51" s="75"/>
      <c r="FS51" s="75"/>
      <c r="FT51" s="75"/>
      <c r="FU51" s="75"/>
      <c r="FV51" s="75"/>
      <c r="FW51" s="75"/>
      <c r="FX51" s="75"/>
      <c r="FY51" s="75"/>
      <c r="FZ51" s="75"/>
      <c r="GA51" s="75"/>
      <c r="GB51" s="75"/>
      <c r="GC51" s="75"/>
      <c r="GD51" s="75"/>
      <c r="GE51" s="75"/>
      <c r="GF51" s="75"/>
      <c r="GG51" s="75"/>
      <c r="GH51" s="75"/>
      <c r="GI51" s="75"/>
      <c r="GJ51" s="75"/>
      <c r="GK51" s="75"/>
      <c r="GL51" s="75"/>
      <c r="GM51" s="75"/>
      <c r="GN51" s="75"/>
      <c r="GO51" s="75"/>
      <c r="GP51" s="75"/>
      <c r="GQ51" s="75"/>
      <c r="GR51" s="75"/>
      <c r="GS51" s="75"/>
      <c r="GT51" s="75"/>
      <c r="GU51" s="75"/>
      <c r="GV51" s="75"/>
      <c r="GW51" s="75"/>
      <c r="GX51" s="75"/>
      <c r="GY51" s="75"/>
      <c r="GZ51" s="75"/>
      <c r="HA51" s="75"/>
      <c r="HB51" s="75"/>
      <c r="HC51" s="75"/>
      <c r="HD51" s="75"/>
      <c r="HE51" s="75"/>
      <c r="HF51" s="75"/>
      <c r="HG51" s="75"/>
      <c r="HH51" s="75"/>
      <c r="HI51" s="75"/>
      <c r="HJ51" s="75"/>
      <c r="HK51" s="75"/>
      <c r="HL51" s="75"/>
      <c r="HM51" s="75"/>
      <c r="HN51" s="75"/>
      <c r="HO51" s="75"/>
      <c r="HP51" s="75"/>
      <c r="HQ51" s="75"/>
      <c r="HR51" s="75"/>
      <c r="HS51" s="75"/>
      <c r="HT51" s="75"/>
      <c r="HU51" s="75"/>
      <c r="HV51" s="75"/>
      <c r="HW51" s="75"/>
      <c r="HX51" s="75"/>
      <c r="HY51" s="75"/>
      <c r="HZ51" s="75"/>
      <c r="IA51" s="75"/>
      <c r="IB51" s="75"/>
      <c r="IC51" s="75"/>
      <c r="ID51" s="75"/>
      <c r="IE51" s="75"/>
      <c r="IF51" s="75"/>
      <c r="IG51" s="75"/>
      <c r="IH51" s="75"/>
      <c r="II51" s="75"/>
      <c r="IJ51" s="75"/>
      <c r="IK51" s="75"/>
      <c r="IL51" s="75"/>
      <c r="IM51" s="75"/>
      <c r="IN51" s="75"/>
      <c r="IO51" s="75"/>
      <c r="IP51" s="75"/>
      <c r="IQ51" s="75"/>
      <c r="IR51" s="75"/>
      <c r="IS51" s="75"/>
    </row>
    <row r="52" spans="1:253">
      <c r="A52" s="226" t="str">
        <f ca="1">CONCATENATE(Database_cortec!E52,"*")</f>
        <v>Four 1 Gbps LC-type SFP transceivers single mode fiber 1000BASE-ZX Ethernet for up to 80 km*</v>
      </c>
      <c r="B52" s="73"/>
      <c r="C52" s="73"/>
      <c r="D52" s="76"/>
      <c r="E52" s="68"/>
      <c r="F52" s="68"/>
      <c r="G52" s="68"/>
      <c r="H52" s="68"/>
      <c r="I52" s="68"/>
      <c r="J52" s="68"/>
      <c r="K52" s="68"/>
      <c r="L52" s="227" t="str">
        <f ca="1">Database_cortec!F52</f>
        <v>F</v>
      </c>
      <c r="M52" s="71"/>
      <c r="N52" s="69"/>
      <c r="O52" s="237"/>
      <c r="P52" s="71"/>
      <c r="Q52" s="69"/>
      <c r="R52" s="237"/>
      <c r="S52" s="71"/>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75"/>
      <c r="FN52" s="75"/>
      <c r="FO52" s="75"/>
      <c r="FP52" s="75"/>
      <c r="FQ52" s="75"/>
      <c r="FR52" s="75"/>
      <c r="FS52" s="75"/>
      <c r="FT52" s="75"/>
      <c r="FU52" s="75"/>
      <c r="FV52" s="75"/>
      <c r="FW52" s="75"/>
      <c r="FX52" s="75"/>
      <c r="FY52" s="75"/>
      <c r="FZ52" s="75"/>
      <c r="GA52" s="75"/>
      <c r="GB52" s="75"/>
      <c r="GC52" s="75"/>
      <c r="GD52" s="75"/>
      <c r="GE52" s="75"/>
      <c r="GF52" s="75"/>
      <c r="GG52" s="75"/>
      <c r="GH52" s="75"/>
      <c r="GI52" s="75"/>
      <c r="GJ52" s="75"/>
      <c r="GK52" s="75"/>
      <c r="GL52" s="75"/>
      <c r="GM52" s="75"/>
      <c r="GN52" s="75"/>
      <c r="GO52" s="75"/>
      <c r="GP52" s="75"/>
      <c r="GQ52" s="75"/>
      <c r="GR52" s="75"/>
      <c r="GS52" s="75"/>
      <c r="GT52" s="75"/>
      <c r="GU52" s="75"/>
      <c r="GV52" s="75"/>
      <c r="GW52" s="75"/>
      <c r="GX52" s="75"/>
      <c r="GY52" s="75"/>
      <c r="GZ52" s="75"/>
      <c r="HA52" s="75"/>
      <c r="HB52" s="75"/>
      <c r="HC52" s="75"/>
      <c r="HD52" s="75"/>
      <c r="HE52" s="75"/>
      <c r="HF52" s="75"/>
      <c r="HG52" s="75"/>
      <c r="HH52" s="75"/>
      <c r="HI52" s="75"/>
      <c r="HJ52" s="75"/>
      <c r="HK52" s="75"/>
      <c r="HL52" s="75"/>
      <c r="HM52" s="75"/>
      <c r="HN52" s="75"/>
      <c r="HO52" s="75"/>
      <c r="HP52" s="75"/>
      <c r="HQ52" s="75"/>
      <c r="HR52" s="75"/>
      <c r="HS52" s="75"/>
      <c r="HT52" s="75"/>
      <c r="HU52" s="75"/>
      <c r="HV52" s="75"/>
      <c r="HW52" s="75"/>
      <c r="HX52" s="75"/>
      <c r="HY52" s="75"/>
      <c r="HZ52" s="75"/>
      <c r="IA52" s="75"/>
      <c r="IB52" s="75"/>
      <c r="IC52" s="75"/>
      <c r="ID52" s="75"/>
      <c r="IE52" s="75"/>
      <c r="IF52" s="75"/>
      <c r="IG52" s="75"/>
      <c r="IH52" s="75"/>
      <c r="II52" s="75"/>
      <c r="IJ52" s="75"/>
      <c r="IK52" s="75"/>
      <c r="IL52" s="75"/>
      <c r="IM52" s="75"/>
      <c r="IN52" s="75"/>
      <c r="IO52" s="75"/>
      <c r="IP52" s="75"/>
      <c r="IQ52" s="75"/>
      <c r="IR52" s="75"/>
      <c r="IS52" s="75"/>
    </row>
    <row r="53" spans="1:253">
      <c r="A53" s="226" t="str">
        <f ca="1">Database_cortec!E53</f>
        <v>Four 100 Mbps LC-type SFP transceivers multi mode fiber 100BASE-FX Ethernet for up to 2 km</v>
      </c>
      <c r="B53" s="73"/>
      <c r="C53" s="73"/>
      <c r="D53" s="76"/>
      <c r="E53" s="68"/>
      <c r="F53" s="68"/>
      <c r="G53" s="68"/>
      <c r="H53" s="68"/>
      <c r="I53" s="68"/>
      <c r="J53" s="68"/>
      <c r="K53" s="68"/>
      <c r="L53" s="227" t="str">
        <f ca="1">Database_cortec!F53</f>
        <v>H</v>
      </c>
      <c r="M53" s="71"/>
      <c r="N53" s="69"/>
      <c r="O53" s="237"/>
      <c r="P53" s="71"/>
      <c r="Q53" s="69"/>
      <c r="R53" s="237"/>
      <c r="S53" s="71"/>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c r="EO53" s="75"/>
      <c r="EP53" s="75"/>
      <c r="EQ53" s="75"/>
      <c r="ER53" s="75"/>
      <c r="ES53" s="75"/>
      <c r="ET53" s="75"/>
      <c r="EU53" s="75"/>
      <c r="EV53" s="75"/>
      <c r="EW53" s="75"/>
      <c r="EX53" s="75"/>
      <c r="EY53" s="75"/>
      <c r="EZ53" s="75"/>
      <c r="FA53" s="75"/>
      <c r="FB53" s="75"/>
      <c r="FC53" s="75"/>
      <c r="FD53" s="75"/>
      <c r="FE53" s="75"/>
      <c r="FF53" s="75"/>
      <c r="FG53" s="75"/>
      <c r="FH53" s="75"/>
      <c r="FI53" s="75"/>
      <c r="FJ53" s="75"/>
      <c r="FK53" s="75"/>
      <c r="FL53" s="75"/>
      <c r="FM53" s="75"/>
      <c r="FN53" s="75"/>
      <c r="FO53" s="75"/>
      <c r="FP53" s="75"/>
      <c r="FQ53" s="75"/>
      <c r="FR53" s="75"/>
      <c r="FS53" s="75"/>
      <c r="FT53" s="75"/>
      <c r="FU53" s="75"/>
      <c r="FV53" s="75"/>
      <c r="FW53" s="75"/>
      <c r="FX53" s="75"/>
      <c r="FY53" s="75"/>
      <c r="FZ53" s="75"/>
      <c r="GA53" s="75"/>
      <c r="GB53" s="75"/>
      <c r="GC53" s="75"/>
      <c r="GD53" s="75"/>
      <c r="GE53" s="75"/>
      <c r="GF53" s="75"/>
      <c r="GG53" s="75"/>
      <c r="GH53" s="75"/>
      <c r="GI53" s="75"/>
      <c r="GJ53" s="75"/>
      <c r="GK53" s="75"/>
      <c r="GL53" s="75"/>
      <c r="GM53" s="75"/>
      <c r="GN53" s="75"/>
      <c r="GO53" s="75"/>
      <c r="GP53" s="75"/>
      <c r="GQ53" s="75"/>
      <c r="GR53" s="75"/>
      <c r="GS53" s="75"/>
      <c r="GT53" s="75"/>
      <c r="GU53" s="75"/>
      <c r="GV53" s="75"/>
      <c r="GW53" s="75"/>
      <c r="GX53" s="75"/>
      <c r="GY53" s="75"/>
      <c r="GZ53" s="75"/>
      <c r="HA53" s="75"/>
      <c r="HB53" s="75"/>
      <c r="HC53" s="75"/>
      <c r="HD53" s="75"/>
      <c r="HE53" s="75"/>
      <c r="HF53" s="75"/>
      <c r="HG53" s="75"/>
      <c r="HH53" s="75"/>
      <c r="HI53" s="75"/>
      <c r="HJ53" s="75"/>
      <c r="HK53" s="75"/>
      <c r="HL53" s="75"/>
      <c r="HM53" s="75"/>
      <c r="HN53" s="75"/>
      <c r="HO53" s="75"/>
      <c r="HP53" s="75"/>
      <c r="HQ53" s="75"/>
      <c r="HR53" s="75"/>
      <c r="HS53" s="75"/>
      <c r="HT53" s="75"/>
      <c r="HU53" s="75"/>
      <c r="HV53" s="75"/>
      <c r="HW53" s="75"/>
      <c r="HX53" s="75"/>
      <c r="HY53" s="75"/>
      <c r="HZ53" s="75"/>
      <c r="IA53" s="75"/>
      <c r="IB53" s="75"/>
      <c r="IC53" s="75"/>
      <c r="ID53" s="75"/>
      <c r="IE53" s="75"/>
      <c r="IF53" s="75"/>
      <c r="IG53" s="75"/>
      <c r="IH53" s="75"/>
      <c r="II53" s="75"/>
      <c r="IJ53" s="75"/>
      <c r="IK53" s="75"/>
      <c r="IL53" s="75"/>
      <c r="IM53" s="75"/>
      <c r="IN53" s="75"/>
      <c r="IO53" s="75"/>
      <c r="IP53" s="75"/>
      <c r="IQ53" s="75"/>
      <c r="IR53" s="75"/>
      <c r="IS53" s="75"/>
    </row>
    <row r="54" spans="1:253">
      <c r="A54" s="226" t="str">
        <f ca="1">Database_cortec!E54</f>
        <v>Four RJ45 copper 10/100BASE-TX</v>
      </c>
      <c r="B54" s="73"/>
      <c r="C54" s="73"/>
      <c r="D54" s="76"/>
      <c r="E54" s="68"/>
      <c r="F54" s="68"/>
      <c r="G54" s="68"/>
      <c r="H54" s="68"/>
      <c r="I54" s="68"/>
      <c r="J54" s="68"/>
      <c r="K54" s="68"/>
      <c r="L54" s="227" t="str">
        <f ca="1">Database_cortec!F54</f>
        <v>I</v>
      </c>
      <c r="M54" s="71"/>
      <c r="N54" s="69"/>
      <c r="O54" s="237"/>
      <c r="P54" s="71"/>
      <c r="Q54" s="69"/>
      <c r="R54" s="237"/>
      <c r="S54" s="71"/>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c r="EO54" s="75"/>
      <c r="EP54" s="75"/>
      <c r="EQ54" s="75"/>
      <c r="ER54" s="75"/>
      <c r="ES54" s="75"/>
      <c r="ET54" s="75"/>
      <c r="EU54" s="75"/>
      <c r="EV54" s="75"/>
      <c r="EW54" s="75"/>
      <c r="EX54" s="75"/>
      <c r="EY54" s="75"/>
      <c r="EZ54" s="75"/>
      <c r="FA54" s="75"/>
      <c r="FB54" s="75"/>
      <c r="FC54" s="75"/>
      <c r="FD54" s="75"/>
      <c r="FE54" s="75"/>
      <c r="FF54" s="75"/>
      <c r="FG54" s="75"/>
      <c r="FH54" s="75"/>
      <c r="FI54" s="75"/>
      <c r="FJ54" s="75"/>
      <c r="FK54" s="75"/>
      <c r="FL54" s="75"/>
      <c r="FM54" s="75"/>
      <c r="FN54" s="75"/>
      <c r="FO54" s="75"/>
      <c r="FP54" s="75"/>
      <c r="FQ54" s="75"/>
      <c r="FR54" s="75"/>
      <c r="FS54" s="75"/>
      <c r="FT54" s="75"/>
      <c r="FU54" s="75"/>
      <c r="FV54" s="75"/>
      <c r="FW54" s="75"/>
      <c r="FX54" s="75"/>
      <c r="FY54" s="75"/>
      <c r="FZ54" s="75"/>
      <c r="GA54" s="75"/>
      <c r="GB54" s="75"/>
      <c r="GC54" s="75"/>
      <c r="GD54" s="75"/>
      <c r="GE54" s="75"/>
      <c r="GF54" s="75"/>
      <c r="GG54" s="75"/>
      <c r="GH54" s="75"/>
      <c r="GI54" s="75"/>
      <c r="GJ54" s="75"/>
      <c r="GK54" s="75"/>
      <c r="GL54" s="75"/>
      <c r="GM54" s="75"/>
      <c r="GN54" s="75"/>
      <c r="GO54" s="75"/>
      <c r="GP54" s="75"/>
      <c r="GQ54" s="75"/>
      <c r="GR54" s="75"/>
      <c r="GS54" s="75"/>
      <c r="GT54" s="75"/>
      <c r="GU54" s="75"/>
      <c r="GV54" s="75"/>
      <c r="GW54" s="75"/>
      <c r="GX54" s="75"/>
      <c r="GY54" s="75"/>
      <c r="GZ54" s="75"/>
      <c r="HA54" s="75"/>
      <c r="HB54" s="75"/>
      <c r="HC54" s="75"/>
      <c r="HD54" s="75"/>
      <c r="HE54" s="75"/>
      <c r="HF54" s="75"/>
      <c r="HG54" s="75"/>
      <c r="HH54" s="75"/>
      <c r="HI54" s="75"/>
      <c r="HJ54" s="75"/>
      <c r="HK54" s="75"/>
      <c r="HL54" s="75"/>
      <c r="HM54" s="75"/>
      <c r="HN54" s="75"/>
      <c r="HO54" s="75"/>
      <c r="HP54" s="75"/>
      <c r="HQ54" s="75"/>
      <c r="HR54" s="75"/>
      <c r="HS54" s="75"/>
      <c r="HT54" s="75"/>
      <c r="HU54" s="75"/>
      <c r="HV54" s="75"/>
      <c r="HW54" s="75"/>
      <c r="HX54" s="75"/>
      <c r="HY54" s="75"/>
      <c r="HZ54" s="75"/>
      <c r="IA54" s="75"/>
      <c r="IB54" s="75"/>
      <c r="IC54" s="75"/>
      <c r="ID54" s="75"/>
      <c r="IE54" s="75"/>
      <c r="IF54" s="75"/>
      <c r="IG54" s="75"/>
      <c r="IH54" s="75"/>
      <c r="II54" s="75"/>
      <c r="IJ54" s="75"/>
      <c r="IK54" s="75"/>
      <c r="IL54" s="75"/>
      <c r="IM54" s="75"/>
      <c r="IN54" s="75"/>
      <c r="IO54" s="75"/>
      <c r="IP54" s="75"/>
      <c r="IQ54" s="75"/>
      <c r="IR54" s="75"/>
      <c r="IS54" s="75"/>
    </row>
    <row r="55" spans="1:253">
      <c r="A55" s="226" t="str">
        <f ca="1">CONCATENATE(Database_cortec!E55,"*")</f>
        <v>Four 1 Gbps RJ45 SFP transceivers Ethernet 10/100BASE-TX/1000BASE-T*</v>
      </c>
      <c r="B55" s="73"/>
      <c r="C55" s="73"/>
      <c r="D55" s="76"/>
      <c r="E55" s="68"/>
      <c r="F55" s="68"/>
      <c r="G55" s="68"/>
      <c r="H55" s="68"/>
      <c r="I55" s="68"/>
      <c r="J55" s="68"/>
      <c r="K55" s="68"/>
      <c r="L55" s="227" t="str">
        <f ca="1">Database_cortec!F55</f>
        <v>J</v>
      </c>
      <c r="M55" s="71"/>
      <c r="N55" s="69"/>
      <c r="O55" s="237"/>
      <c r="P55" s="71"/>
      <c r="Q55" s="69"/>
      <c r="R55" s="237"/>
      <c r="S55" s="71"/>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c r="EO55" s="75"/>
      <c r="EP55" s="75"/>
      <c r="EQ55" s="75"/>
      <c r="ER55" s="75"/>
      <c r="ES55" s="75"/>
      <c r="ET55" s="75"/>
      <c r="EU55" s="75"/>
      <c r="EV55" s="75"/>
      <c r="EW55" s="75"/>
      <c r="EX55" s="75"/>
      <c r="EY55" s="75"/>
      <c r="EZ55" s="75"/>
      <c r="FA55" s="75"/>
      <c r="FB55" s="75"/>
      <c r="FC55" s="75"/>
      <c r="FD55" s="75"/>
      <c r="FE55" s="75"/>
      <c r="FF55" s="75"/>
      <c r="FG55" s="75"/>
      <c r="FH55" s="75"/>
      <c r="FI55" s="75"/>
      <c r="FJ55" s="75"/>
      <c r="FK55" s="75"/>
      <c r="FL55" s="75"/>
      <c r="FM55" s="75"/>
      <c r="FN55" s="75"/>
      <c r="FO55" s="75"/>
      <c r="FP55" s="75"/>
      <c r="FQ55" s="75"/>
      <c r="FR55" s="75"/>
      <c r="FS55" s="75"/>
      <c r="FT55" s="75"/>
      <c r="FU55" s="75"/>
      <c r="FV55" s="75"/>
      <c r="FW55" s="75"/>
      <c r="FX55" s="75"/>
      <c r="FY55" s="75"/>
      <c r="FZ55" s="75"/>
      <c r="GA55" s="75"/>
      <c r="GB55" s="75"/>
      <c r="GC55" s="75"/>
      <c r="GD55" s="75"/>
      <c r="GE55" s="75"/>
      <c r="GF55" s="75"/>
      <c r="GG55" s="75"/>
      <c r="GH55" s="75"/>
      <c r="GI55" s="75"/>
      <c r="GJ55" s="75"/>
      <c r="GK55" s="75"/>
      <c r="GL55" s="75"/>
      <c r="GM55" s="75"/>
      <c r="GN55" s="75"/>
      <c r="GO55" s="75"/>
      <c r="GP55" s="75"/>
      <c r="GQ55" s="75"/>
      <c r="GR55" s="75"/>
      <c r="GS55" s="75"/>
      <c r="GT55" s="75"/>
      <c r="GU55" s="75"/>
      <c r="GV55" s="75"/>
      <c r="GW55" s="75"/>
      <c r="GX55" s="75"/>
      <c r="GY55" s="75"/>
      <c r="GZ55" s="75"/>
      <c r="HA55" s="75"/>
      <c r="HB55" s="75"/>
      <c r="HC55" s="75"/>
      <c r="HD55" s="75"/>
      <c r="HE55" s="75"/>
      <c r="HF55" s="75"/>
      <c r="HG55" s="75"/>
      <c r="HH55" s="75"/>
      <c r="HI55" s="75"/>
      <c r="HJ55" s="75"/>
      <c r="HK55" s="75"/>
      <c r="HL55" s="75"/>
      <c r="HM55" s="75"/>
      <c r="HN55" s="75"/>
      <c r="HO55" s="75"/>
      <c r="HP55" s="75"/>
      <c r="HQ55" s="75"/>
      <c r="HR55" s="75"/>
      <c r="HS55" s="75"/>
      <c r="HT55" s="75"/>
      <c r="HU55" s="75"/>
      <c r="HV55" s="75"/>
      <c r="HW55" s="75"/>
      <c r="HX55" s="75"/>
      <c r="HY55" s="75"/>
      <c r="HZ55" s="75"/>
      <c r="IA55" s="75"/>
      <c r="IB55" s="75"/>
      <c r="IC55" s="75"/>
      <c r="ID55" s="75"/>
      <c r="IE55" s="75"/>
      <c r="IF55" s="75"/>
      <c r="IG55" s="75"/>
      <c r="IH55" s="75"/>
      <c r="II55" s="75"/>
      <c r="IJ55" s="75"/>
      <c r="IK55" s="75"/>
      <c r="IL55" s="75"/>
      <c r="IM55" s="75"/>
      <c r="IN55" s="75"/>
      <c r="IO55" s="75"/>
      <c r="IP55" s="75"/>
      <c r="IQ55" s="75"/>
      <c r="IR55" s="75"/>
      <c r="IS55" s="75"/>
    </row>
    <row r="56" spans="1:253">
      <c r="A56" s="226" t="str">
        <f ca="1">Database_cortec!E56</f>
        <v>Not installed</v>
      </c>
      <c r="B56" s="73"/>
      <c r="C56" s="73"/>
      <c r="D56" s="76"/>
      <c r="E56" s="68"/>
      <c r="F56" s="68"/>
      <c r="G56" s="68"/>
      <c r="H56" s="68"/>
      <c r="I56" s="68"/>
      <c r="J56" s="68"/>
      <c r="K56" s="68"/>
      <c r="L56" s="227" t="str">
        <f ca="1">Database_cortec!F56</f>
        <v>X</v>
      </c>
      <c r="M56" s="71"/>
      <c r="N56" s="69"/>
      <c r="O56" s="237"/>
      <c r="P56" s="71"/>
      <c r="Q56" s="69"/>
      <c r="R56" s="237"/>
      <c r="S56" s="71"/>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c r="EO56" s="75"/>
      <c r="EP56" s="75"/>
      <c r="EQ56" s="75"/>
      <c r="ER56" s="75"/>
      <c r="ES56" s="75"/>
      <c r="ET56" s="75"/>
      <c r="EU56" s="75"/>
      <c r="EV56" s="75"/>
      <c r="EW56" s="75"/>
      <c r="EX56" s="75"/>
      <c r="EY56" s="75"/>
      <c r="EZ56" s="75"/>
      <c r="FA56" s="75"/>
      <c r="FB56" s="75"/>
      <c r="FC56" s="75"/>
      <c r="FD56" s="75"/>
      <c r="FE56" s="75"/>
      <c r="FF56" s="75"/>
      <c r="FG56" s="75"/>
      <c r="FH56" s="75"/>
      <c r="FI56" s="75"/>
      <c r="FJ56" s="75"/>
      <c r="FK56" s="75"/>
      <c r="FL56" s="75"/>
      <c r="FM56" s="75"/>
      <c r="FN56" s="75"/>
      <c r="FO56" s="75"/>
      <c r="FP56" s="75"/>
      <c r="FQ56" s="75"/>
      <c r="FR56" s="75"/>
      <c r="FS56" s="75"/>
      <c r="FT56" s="75"/>
      <c r="FU56" s="75"/>
      <c r="FV56" s="75"/>
      <c r="FW56" s="75"/>
      <c r="FX56" s="75"/>
      <c r="FY56" s="75"/>
      <c r="FZ56" s="75"/>
      <c r="GA56" s="75"/>
      <c r="GB56" s="75"/>
      <c r="GC56" s="75"/>
      <c r="GD56" s="75"/>
      <c r="GE56" s="75"/>
      <c r="GF56" s="75"/>
      <c r="GG56" s="75"/>
      <c r="GH56" s="75"/>
      <c r="GI56" s="75"/>
      <c r="GJ56" s="75"/>
      <c r="GK56" s="75"/>
      <c r="GL56" s="75"/>
      <c r="GM56" s="75"/>
      <c r="GN56" s="75"/>
      <c r="GO56" s="75"/>
      <c r="GP56" s="75"/>
      <c r="GQ56" s="75"/>
      <c r="GR56" s="75"/>
      <c r="GS56" s="75"/>
      <c r="GT56" s="75"/>
      <c r="GU56" s="75"/>
      <c r="GV56" s="75"/>
      <c r="GW56" s="75"/>
      <c r="GX56" s="75"/>
      <c r="GY56" s="75"/>
      <c r="GZ56" s="75"/>
      <c r="HA56" s="75"/>
      <c r="HB56" s="75"/>
      <c r="HC56" s="75"/>
      <c r="HD56" s="75"/>
      <c r="HE56" s="75"/>
      <c r="HF56" s="75"/>
      <c r="HG56" s="75"/>
      <c r="HH56" s="75"/>
      <c r="HI56" s="75"/>
      <c r="HJ56" s="75"/>
      <c r="HK56" s="75"/>
      <c r="HL56" s="75"/>
      <c r="HM56" s="75"/>
      <c r="HN56" s="75"/>
      <c r="HO56" s="75"/>
      <c r="HP56" s="75"/>
      <c r="HQ56" s="75"/>
      <c r="HR56" s="75"/>
      <c r="HS56" s="75"/>
      <c r="HT56" s="75"/>
      <c r="HU56" s="75"/>
      <c r="HV56" s="75"/>
      <c r="HW56" s="75"/>
      <c r="HX56" s="75"/>
      <c r="HY56" s="75"/>
      <c r="HZ56" s="75"/>
      <c r="IA56" s="75"/>
      <c r="IB56" s="75"/>
      <c r="IC56" s="75"/>
      <c r="ID56" s="75"/>
      <c r="IE56" s="75"/>
      <c r="IF56" s="75"/>
      <c r="IG56" s="75"/>
      <c r="IH56" s="75"/>
      <c r="II56" s="75"/>
      <c r="IJ56" s="75"/>
      <c r="IK56" s="75"/>
      <c r="IL56" s="75"/>
      <c r="IM56" s="75"/>
      <c r="IN56" s="75"/>
      <c r="IO56" s="75"/>
      <c r="IP56" s="75"/>
      <c r="IQ56" s="75"/>
      <c r="IR56" s="75"/>
      <c r="IS56" s="75"/>
    </row>
    <row r="57" spans="1:253">
      <c r="A57" s="72"/>
      <c r="B57" s="73"/>
      <c r="C57" s="73"/>
      <c r="D57" s="76"/>
      <c r="E57" s="68"/>
      <c r="F57" s="68"/>
      <c r="G57" s="68"/>
      <c r="H57" s="68"/>
      <c r="I57" s="68"/>
      <c r="J57" s="68"/>
      <c r="K57" s="68"/>
      <c r="L57" s="68"/>
      <c r="M57" s="71"/>
      <c r="N57" s="69"/>
      <c r="O57" s="237"/>
      <c r="P57" s="71"/>
      <c r="Q57" s="69"/>
      <c r="R57" s="237"/>
      <c r="S57" s="71"/>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c r="EO57" s="75"/>
      <c r="EP57" s="75"/>
      <c r="EQ57" s="75"/>
      <c r="ER57" s="75"/>
      <c r="ES57" s="75"/>
      <c r="ET57" s="75"/>
      <c r="EU57" s="75"/>
      <c r="EV57" s="75"/>
      <c r="EW57" s="75"/>
      <c r="EX57" s="75"/>
      <c r="EY57" s="75"/>
      <c r="EZ57" s="75"/>
      <c r="FA57" s="75"/>
      <c r="FB57" s="75"/>
      <c r="FC57" s="75"/>
      <c r="FD57" s="75"/>
      <c r="FE57" s="75"/>
      <c r="FF57" s="75"/>
      <c r="FG57" s="75"/>
      <c r="FH57" s="75"/>
      <c r="FI57" s="75"/>
      <c r="FJ57" s="75"/>
      <c r="FK57" s="75"/>
      <c r="FL57" s="75"/>
      <c r="FM57" s="75"/>
      <c r="FN57" s="75"/>
      <c r="FO57" s="75"/>
      <c r="FP57" s="75"/>
      <c r="FQ57" s="75"/>
      <c r="FR57" s="75"/>
      <c r="FS57" s="75"/>
      <c r="FT57" s="75"/>
      <c r="FU57" s="75"/>
      <c r="FV57" s="75"/>
      <c r="FW57" s="75"/>
      <c r="FX57" s="75"/>
      <c r="FY57" s="75"/>
      <c r="FZ57" s="75"/>
      <c r="GA57" s="75"/>
      <c r="GB57" s="75"/>
      <c r="GC57" s="75"/>
      <c r="GD57" s="75"/>
      <c r="GE57" s="75"/>
      <c r="GF57" s="75"/>
      <c r="GG57" s="75"/>
      <c r="GH57" s="75"/>
      <c r="GI57" s="75"/>
      <c r="GJ57" s="75"/>
      <c r="GK57" s="75"/>
      <c r="GL57" s="75"/>
      <c r="GM57" s="75"/>
      <c r="GN57" s="75"/>
      <c r="GO57" s="75"/>
      <c r="GP57" s="75"/>
      <c r="GQ57" s="75"/>
      <c r="GR57" s="75"/>
      <c r="GS57" s="75"/>
      <c r="GT57" s="75"/>
      <c r="GU57" s="75"/>
      <c r="GV57" s="75"/>
      <c r="GW57" s="75"/>
      <c r="GX57" s="75"/>
      <c r="GY57" s="75"/>
      <c r="GZ57" s="75"/>
      <c r="HA57" s="75"/>
      <c r="HB57" s="75"/>
      <c r="HC57" s="75"/>
      <c r="HD57" s="75"/>
      <c r="HE57" s="75"/>
      <c r="HF57" s="75"/>
      <c r="HG57" s="75"/>
      <c r="HH57" s="75"/>
      <c r="HI57" s="75"/>
      <c r="HJ57" s="75"/>
      <c r="HK57" s="75"/>
      <c r="HL57" s="75"/>
      <c r="HM57" s="75"/>
      <c r="HN57" s="75"/>
      <c r="HO57" s="75"/>
      <c r="HP57" s="75"/>
      <c r="HQ57" s="75"/>
      <c r="HR57" s="75"/>
      <c r="HS57" s="75"/>
      <c r="HT57" s="75"/>
      <c r="HU57" s="75"/>
      <c r="HV57" s="75"/>
      <c r="HW57" s="75"/>
      <c r="HX57" s="75"/>
      <c r="HY57" s="75"/>
      <c r="HZ57" s="75"/>
      <c r="IA57" s="75"/>
      <c r="IB57" s="75"/>
      <c r="IC57" s="75"/>
      <c r="ID57" s="75"/>
      <c r="IE57" s="75"/>
      <c r="IF57" s="75"/>
      <c r="IG57" s="75"/>
      <c r="IH57" s="75"/>
      <c r="II57" s="75"/>
      <c r="IJ57" s="75"/>
      <c r="IK57" s="75"/>
      <c r="IL57" s="75"/>
      <c r="IM57" s="75"/>
      <c r="IN57" s="75"/>
      <c r="IO57" s="75"/>
      <c r="IP57" s="75"/>
      <c r="IQ57" s="75"/>
      <c r="IR57" s="75"/>
      <c r="IS57" s="75"/>
    </row>
    <row r="58" spans="1:253" ht="13">
      <c r="A58" s="77" t="str">
        <f>Database_cortec!B58</f>
        <v>Interface Module 3</v>
      </c>
      <c r="B58" s="61"/>
      <c r="C58" s="61"/>
      <c r="D58" s="78"/>
      <c r="E58" s="67"/>
      <c r="F58" s="67"/>
      <c r="G58" s="67"/>
      <c r="H58" s="67"/>
      <c r="I58" s="67"/>
      <c r="J58" s="67"/>
      <c r="K58" s="67"/>
      <c r="L58" s="67"/>
      <c r="M58" s="71"/>
      <c r="N58" s="69"/>
      <c r="O58" s="237"/>
      <c r="P58" s="71"/>
      <c r="Q58" s="69"/>
      <c r="R58" s="237"/>
      <c r="S58" s="71"/>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c r="EO58" s="75"/>
      <c r="EP58" s="75"/>
      <c r="EQ58" s="75"/>
      <c r="ER58" s="75"/>
      <c r="ES58" s="75"/>
      <c r="ET58" s="75"/>
      <c r="EU58" s="75"/>
      <c r="EV58" s="75"/>
      <c r="EW58" s="75"/>
      <c r="EX58" s="75"/>
      <c r="EY58" s="75"/>
      <c r="EZ58" s="75"/>
      <c r="FA58" s="75"/>
      <c r="FB58" s="75"/>
      <c r="FC58" s="75"/>
      <c r="FD58" s="75"/>
      <c r="FE58" s="75"/>
      <c r="FF58" s="75"/>
      <c r="FG58" s="75"/>
      <c r="FH58" s="75"/>
      <c r="FI58" s="75"/>
      <c r="FJ58" s="75"/>
      <c r="FK58" s="75"/>
      <c r="FL58" s="75"/>
      <c r="FM58" s="75"/>
      <c r="FN58" s="75"/>
      <c r="FO58" s="75"/>
      <c r="FP58" s="75"/>
      <c r="FQ58" s="75"/>
      <c r="FR58" s="75"/>
      <c r="FS58" s="75"/>
      <c r="FT58" s="75"/>
      <c r="FU58" s="75"/>
      <c r="FV58" s="75"/>
      <c r="FW58" s="75"/>
      <c r="FX58" s="75"/>
      <c r="FY58" s="75"/>
      <c r="FZ58" s="75"/>
      <c r="GA58" s="75"/>
      <c r="GB58" s="75"/>
      <c r="GC58" s="75"/>
      <c r="GD58" s="75"/>
      <c r="GE58" s="75"/>
      <c r="GF58" s="75"/>
      <c r="GG58" s="75"/>
      <c r="GH58" s="75"/>
      <c r="GI58" s="75"/>
      <c r="GJ58" s="75"/>
      <c r="GK58" s="75"/>
      <c r="GL58" s="75"/>
      <c r="GM58" s="75"/>
      <c r="GN58" s="75"/>
      <c r="GO58" s="75"/>
      <c r="GP58" s="75"/>
      <c r="GQ58" s="75"/>
      <c r="GR58" s="75"/>
      <c r="GS58" s="75"/>
      <c r="GT58" s="75"/>
      <c r="GU58" s="75"/>
      <c r="GV58" s="75"/>
      <c r="GW58" s="75"/>
      <c r="GX58" s="75"/>
      <c r="GY58" s="75"/>
      <c r="GZ58" s="75"/>
      <c r="HA58" s="75"/>
      <c r="HB58" s="75"/>
      <c r="HC58" s="75"/>
      <c r="HD58" s="75"/>
      <c r="HE58" s="75"/>
      <c r="HF58" s="75"/>
      <c r="HG58" s="75"/>
      <c r="HH58" s="75"/>
      <c r="HI58" s="75"/>
      <c r="HJ58" s="75"/>
      <c r="HK58" s="75"/>
      <c r="HL58" s="75"/>
      <c r="HM58" s="75"/>
      <c r="HN58" s="75"/>
      <c r="HO58" s="75"/>
      <c r="HP58" s="75"/>
      <c r="HQ58" s="75"/>
      <c r="HR58" s="75"/>
      <c r="HS58" s="75"/>
      <c r="HT58" s="75"/>
      <c r="HU58" s="75"/>
      <c r="HV58" s="75"/>
      <c r="HW58" s="75"/>
      <c r="HX58" s="75"/>
      <c r="HY58" s="75"/>
      <c r="HZ58" s="75"/>
      <c r="IA58" s="75"/>
      <c r="IB58" s="75"/>
      <c r="IC58" s="75"/>
      <c r="ID58" s="75"/>
      <c r="IE58" s="75"/>
      <c r="IF58" s="75"/>
      <c r="IG58" s="75"/>
      <c r="IH58" s="75"/>
      <c r="II58" s="75"/>
      <c r="IJ58" s="75"/>
      <c r="IK58" s="75"/>
      <c r="IL58" s="75"/>
      <c r="IM58" s="75"/>
      <c r="IN58" s="75"/>
      <c r="IO58" s="75"/>
      <c r="IP58" s="75"/>
      <c r="IQ58" s="75"/>
      <c r="IR58" s="75"/>
      <c r="IS58" s="75"/>
    </row>
    <row r="59" spans="1:253">
      <c r="A59" s="226" t="str">
        <f ca="1">CONCATENATE(Database_cortec!E59,"*")</f>
        <v>Four 1 Gbps RJ45 copper 10/100BASE-TX/1000BASE-T Ethernet ports*</v>
      </c>
      <c r="B59" s="73"/>
      <c r="C59" s="73"/>
      <c r="D59" s="76"/>
      <c r="E59" s="68"/>
      <c r="F59" s="68"/>
      <c r="G59" s="68"/>
      <c r="H59" s="68"/>
      <c r="I59" s="68"/>
      <c r="J59" s="68"/>
      <c r="K59" s="68"/>
      <c r="L59" s="68"/>
      <c r="M59" s="79" t="str">
        <f ca="1">Database_cortec!F59</f>
        <v>A</v>
      </c>
      <c r="N59" s="69"/>
      <c r="O59" s="237"/>
      <c r="P59" s="71"/>
      <c r="Q59" s="69"/>
      <c r="R59" s="237"/>
      <c r="S59" s="71"/>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c r="EO59" s="75"/>
      <c r="EP59" s="75"/>
      <c r="EQ59" s="75"/>
      <c r="ER59" s="75"/>
      <c r="ES59" s="75"/>
      <c r="ET59" s="75"/>
      <c r="EU59" s="75"/>
      <c r="EV59" s="75"/>
      <c r="EW59" s="75"/>
      <c r="EX59" s="75"/>
      <c r="EY59" s="75"/>
      <c r="EZ59" s="75"/>
      <c r="FA59" s="75"/>
      <c r="FB59" s="75"/>
      <c r="FC59" s="75"/>
      <c r="FD59" s="75"/>
      <c r="FE59" s="75"/>
      <c r="FF59" s="75"/>
      <c r="FG59" s="75"/>
      <c r="FH59" s="75"/>
      <c r="FI59" s="75"/>
      <c r="FJ59" s="75"/>
      <c r="FK59" s="75"/>
      <c r="FL59" s="75"/>
      <c r="FM59" s="75"/>
      <c r="FN59" s="75"/>
      <c r="FO59" s="75"/>
      <c r="FP59" s="75"/>
      <c r="FQ59" s="75"/>
      <c r="FR59" s="75"/>
      <c r="FS59" s="75"/>
      <c r="FT59" s="75"/>
      <c r="FU59" s="75"/>
      <c r="FV59" s="75"/>
      <c r="FW59" s="75"/>
      <c r="FX59" s="75"/>
      <c r="FY59" s="75"/>
      <c r="FZ59" s="75"/>
      <c r="GA59" s="75"/>
      <c r="GB59" s="75"/>
      <c r="GC59" s="75"/>
      <c r="GD59" s="75"/>
      <c r="GE59" s="75"/>
      <c r="GF59" s="75"/>
      <c r="GG59" s="75"/>
      <c r="GH59" s="75"/>
      <c r="GI59" s="75"/>
      <c r="GJ59" s="75"/>
      <c r="GK59" s="75"/>
      <c r="GL59" s="75"/>
      <c r="GM59" s="75"/>
      <c r="GN59" s="75"/>
      <c r="GO59" s="75"/>
      <c r="GP59" s="75"/>
      <c r="GQ59" s="75"/>
      <c r="GR59" s="75"/>
      <c r="GS59" s="75"/>
      <c r="GT59" s="75"/>
      <c r="GU59" s="75"/>
      <c r="GV59" s="75"/>
      <c r="GW59" s="75"/>
      <c r="GX59" s="75"/>
      <c r="GY59" s="75"/>
      <c r="GZ59" s="75"/>
      <c r="HA59" s="75"/>
      <c r="HB59" s="75"/>
      <c r="HC59" s="75"/>
      <c r="HD59" s="75"/>
      <c r="HE59" s="75"/>
      <c r="HF59" s="75"/>
      <c r="HG59" s="75"/>
      <c r="HH59" s="75"/>
      <c r="HI59" s="75"/>
      <c r="HJ59" s="75"/>
      <c r="HK59" s="75"/>
      <c r="HL59" s="75"/>
      <c r="HM59" s="75"/>
      <c r="HN59" s="75"/>
      <c r="HO59" s="75"/>
      <c r="HP59" s="75"/>
      <c r="HQ59" s="75"/>
      <c r="HR59" s="75"/>
      <c r="HS59" s="75"/>
      <c r="HT59" s="75"/>
      <c r="HU59" s="75"/>
      <c r="HV59" s="75"/>
      <c r="HW59" s="75"/>
      <c r="HX59" s="75"/>
      <c r="HY59" s="75"/>
      <c r="HZ59" s="75"/>
      <c r="IA59" s="75"/>
      <c r="IB59" s="75"/>
      <c r="IC59" s="75"/>
      <c r="ID59" s="75"/>
      <c r="IE59" s="75"/>
      <c r="IF59" s="75"/>
      <c r="IG59" s="75"/>
      <c r="IH59" s="75"/>
      <c r="II59" s="75"/>
      <c r="IJ59" s="75"/>
      <c r="IK59" s="75"/>
      <c r="IL59" s="75"/>
      <c r="IM59" s="75"/>
      <c r="IN59" s="75"/>
      <c r="IO59" s="75"/>
      <c r="IP59" s="75"/>
      <c r="IQ59" s="75"/>
      <c r="IR59" s="75"/>
      <c r="IS59" s="75"/>
    </row>
    <row r="60" spans="1:253">
      <c r="A60" s="226" t="str">
        <f ca="1">Database_cortec!E60</f>
        <v>Four slots for SFP transceivers (Up to 1 Gbps in the 24 ports model / Up to 100 Mbps in the 20 ports model)</v>
      </c>
      <c r="B60" s="73"/>
      <c r="C60" s="73"/>
      <c r="D60" s="76"/>
      <c r="E60" s="68"/>
      <c r="F60" s="68"/>
      <c r="G60" s="68"/>
      <c r="H60" s="68"/>
      <c r="I60" s="68"/>
      <c r="J60" s="68"/>
      <c r="K60" s="68"/>
      <c r="L60" s="68"/>
      <c r="M60" s="227" t="str">
        <f ca="1">Database_cortec!F60</f>
        <v>B</v>
      </c>
      <c r="N60" s="69"/>
      <c r="O60" s="237"/>
      <c r="P60" s="71"/>
      <c r="Q60" s="69"/>
      <c r="R60" s="237"/>
      <c r="S60" s="71"/>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c r="EO60" s="75"/>
      <c r="EP60" s="75"/>
      <c r="EQ60" s="75"/>
      <c r="ER60" s="75"/>
      <c r="ES60" s="75"/>
      <c r="ET60" s="75"/>
      <c r="EU60" s="75"/>
      <c r="EV60" s="75"/>
      <c r="EW60" s="75"/>
      <c r="EX60" s="75"/>
      <c r="EY60" s="75"/>
      <c r="EZ60" s="75"/>
      <c r="FA60" s="75"/>
      <c r="FB60" s="75"/>
      <c r="FC60" s="75"/>
      <c r="FD60" s="75"/>
      <c r="FE60" s="75"/>
      <c r="FF60" s="75"/>
      <c r="FG60" s="75"/>
      <c r="FH60" s="75"/>
      <c r="FI60" s="75"/>
      <c r="FJ60" s="75"/>
      <c r="FK60" s="75"/>
      <c r="FL60" s="75"/>
      <c r="FM60" s="75"/>
      <c r="FN60" s="75"/>
      <c r="FO60" s="75"/>
      <c r="FP60" s="75"/>
      <c r="FQ60" s="75"/>
      <c r="FR60" s="75"/>
      <c r="FS60" s="75"/>
      <c r="FT60" s="75"/>
      <c r="FU60" s="75"/>
      <c r="FV60" s="75"/>
      <c r="FW60" s="75"/>
      <c r="FX60" s="75"/>
      <c r="FY60" s="75"/>
      <c r="FZ60" s="75"/>
      <c r="GA60" s="75"/>
      <c r="GB60" s="75"/>
      <c r="GC60" s="75"/>
      <c r="GD60" s="75"/>
      <c r="GE60" s="75"/>
      <c r="GF60" s="75"/>
      <c r="GG60" s="75"/>
      <c r="GH60" s="75"/>
      <c r="GI60" s="75"/>
      <c r="GJ60" s="75"/>
      <c r="GK60" s="75"/>
      <c r="GL60" s="75"/>
      <c r="GM60" s="75"/>
      <c r="GN60" s="75"/>
      <c r="GO60" s="75"/>
      <c r="GP60" s="75"/>
      <c r="GQ60" s="75"/>
      <c r="GR60" s="75"/>
      <c r="GS60" s="75"/>
      <c r="GT60" s="75"/>
      <c r="GU60" s="75"/>
      <c r="GV60" s="75"/>
      <c r="GW60" s="75"/>
      <c r="GX60" s="75"/>
      <c r="GY60" s="75"/>
      <c r="GZ60" s="75"/>
      <c r="HA60" s="75"/>
      <c r="HB60" s="75"/>
      <c r="HC60" s="75"/>
      <c r="HD60" s="75"/>
      <c r="HE60" s="75"/>
      <c r="HF60" s="75"/>
      <c r="HG60" s="75"/>
      <c r="HH60" s="75"/>
      <c r="HI60" s="75"/>
      <c r="HJ60" s="75"/>
      <c r="HK60" s="75"/>
      <c r="HL60" s="75"/>
      <c r="HM60" s="75"/>
      <c r="HN60" s="75"/>
      <c r="HO60" s="75"/>
      <c r="HP60" s="75"/>
      <c r="HQ60" s="75"/>
      <c r="HR60" s="75"/>
      <c r="HS60" s="75"/>
      <c r="HT60" s="75"/>
      <c r="HU60" s="75"/>
      <c r="HV60" s="75"/>
      <c r="HW60" s="75"/>
      <c r="HX60" s="75"/>
      <c r="HY60" s="75"/>
      <c r="HZ60" s="75"/>
      <c r="IA60" s="75"/>
      <c r="IB60" s="75"/>
      <c r="IC60" s="75"/>
      <c r="ID60" s="75"/>
      <c r="IE60" s="75"/>
      <c r="IF60" s="75"/>
      <c r="IG60" s="75"/>
      <c r="IH60" s="75"/>
      <c r="II60" s="75"/>
      <c r="IJ60" s="75"/>
      <c r="IK60" s="75"/>
      <c r="IL60" s="75"/>
      <c r="IM60" s="75"/>
      <c r="IN60" s="75"/>
      <c r="IO60" s="75"/>
      <c r="IP60" s="75"/>
      <c r="IQ60" s="75"/>
      <c r="IR60" s="75"/>
      <c r="IS60" s="75"/>
    </row>
    <row r="61" spans="1:253">
      <c r="A61" s="226" t="str">
        <f ca="1">CONCATENATE(Database_cortec!E61,"*")</f>
        <v>Four 1 Gbps LC-type SFP transceivers multi mode fiber 1000BASE-SX Ethernet for up to 0.5 km*</v>
      </c>
      <c r="B61" s="73"/>
      <c r="C61" s="73"/>
      <c r="D61" s="76"/>
      <c r="E61" s="68"/>
      <c r="F61" s="68"/>
      <c r="G61" s="68"/>
      <c r="H61" s="68"/>
      <c r="I61" s="68"/>
      <c r="J61" s="68"/>
      <c r="K61" s="68"/>
      <c r="L61" s="68"/>
      <c r="M61" s="227" t="str">
        <f ca="1">Database_cortec!F61</f>
        <v>C</v>
      </c>
      <c r="N61" s="69"/>
      <c r="O61" s="237"/>
      <c r="P61" s="71"/>
      <c r="Q61" s="69"/>
      <c r="R61" s="237"/>
      <c r="S61" s="71"/>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c r="EO61" s="75"/>
      <c r="EP61" s="75"/>
      <c r="EQ61" s="75"/>
      <c r="ER61" s="75"/>
      <c r="ES61" s="75"/>
      <c r="ET61" s="75"/>
      <c r="EU61" s="75"/>
      <c r="EV61" s="75"/>
      <c r="EW61" s="75"/>
      <c r="EX61" s="75"/>
      <c r="EY61" s="75"/>
      <c r="EZ61" s="75"/>
      <c r="FA61" s="75"/>
      <c r="FB61" s="75"/>
      <c r="FC61" s="75"/>
      <c r="FD61" s="75"/>
      <c r="FE61" s="75"/>
      <c r="FF61" s="75"/>
      <c r="FG61" s="75"/>
      <c r="FH61" s="75"/>
      <c r="FI61" s="75"/>
      <c r="FJ61" s="75"/>
      <c r="FK61" s="75"/>
      <c r="FL61" s="75"/>
      <c r="FM61" s="75"/>
      <c r="FN61" s="75"/>
      <c r="FO61" s="75"/>
      <c r="FP61" s="75"/>
      <c r="FQ61" s="75"/>
      <c r="FR61" s="75"/>
      <c r="FS61" s="75"/>
      <c r="FT61" s="75"/>
      <c r="FU61" s="75"/>
      <c r="FV61" s="75"/>
      <c r="FW61" s="75"/>
      <c r="FX61" s="75"/>
      <c r="FY61" s="75"/>
      <c r="FZ61" s="75"/>
      <c r="GA61" s="75"/>
      <c r="GB61" s="75"/>
      <c r="GC61" s="75"/>
      <c r="GD61" s="75"/>
      <c r="GE61" s="75"/>
      <c r="GF61" s="75"/>
      <c r="GG61" s="75"/>
      <c r="GH61" s="75"/>
      <c r="GI61" s="75"/>
      <c r="GJ61" s="75"/>
      <c r="GK61" s="75"/>
      <c r="GL61" s="75"/>
      <c r="GM61" s="75"/>
      <c r="GN61" s="75"/>
      <c r="GO61" s="75"/>
      <c r="GP61" s="75"/>
      <c r="GQ61" s="75"/>
      <c r="GR61" s="75"/>
      <c r="GS61" s="75"/>
      <c r="GT61" s="75"/>
      <c r="GU61" s="75"/>
      <c r="GV61" s="75"/>
      <c r="GW61" s="75"/>
      <c r="GX61" s="75"/>
      <c r="GY61" s="75"/>
      <c r="GZ61" s="75"/>
      <c r="HA61" s="75"/>
      <c r="HB61" s="75"/>
      <c r="HC61" s="75"/>
      <c r="HD61" s="75"/>
      <c r="HE61" s="75"/>
      <c r="HF61" s="75"/>
      <c r="HG61" s="75"/>
      <c r="HH61" s="75"/>
      <c r="HI61" s="75"/>
      <c r="HJ61" s="75"/>
      <c r="HK61" s="75"/>
      <c r="HL61" s="75"/>
      <c r="HM61" s="75"/>
      <c r="HN61" s="75"/>
      <c r="HO61" s="75"/>
      <c r="HP61" s="75"/>
      <c r="HQ61" s="75"/>
      <c r="HR61" s="75"/>
      <c r="HS61" s="75"/>
      <c r="HT61" s="75"/>
      <c r="HU61" s="75"/>
      <c r="HV61" s="75"/>
      <c r="HW61" s="75"/>
      <c r="HX61" s="75"/>
      <c r="HY61" s="75"/>
      <c r="HZ61" s="75"/>
      <c r="IA61" s="75"/>
      <c r="IB61" s="75"/>
      <c r="IC61" s="75"/>
      <c r="ID61" s="75"/>
      <c r="IE61" s="75"/>
      <c r="IF61" s="75"/>
      <c r="IG61" s="75"/>
      <c r="IH61" s="75"/>
      <c r="II61" s="75"/>
      <c r="IJ61" s="75"/>
      <c r="IK61" s="75"/>
      <c r="IL61" s="75"/>
      <c r="IM61" s="75"/>
      <c r="IN61" s="75"/>
      <c r="IO61" s="75"/>
      <c r="IP61" s="75"/>
      <c r="IQ61" s="75"/>
      <c r="IR61" s="75"/>
      <c r="IS61" s="75"/>
    </row>
    <row r="62" spans="1:253">
      <c r="A62" s="226" t="str">
        <f ca="1">CONCATENATE(Database_cortec!E62,"*")</f>
        <v>Four 1 Gbps LC-type SFP transceivers single mode fiber 1000BASE-LX Ethernet for up to 20 km*</v>
      </c>
      <c r="B62" s="73"/>
      <c r="C62" s="73"/>
      <c r="D62" s="76"/>
      <c r="E62" s="68"/>
      <c r="F62" s="68"/>
      <c r="G62" s="68"/>
      <c r="H62" s="68"/>
      <c r="I62" s="68"/>
      <c r="J62" s="68"/>
      <c r="K62" s="68"/>
      <c r="L62" s="68"/>
      <c r="M62" s="227" t="str">
        <f ca="1">Database_cortec!F62</f>
        <v>D</v>
      </c>
      <c r="N62" s="69"/>
      <c r="O62" s="237"/>
      <c r="P62" s="71"/>
      <c r="Q62" s="69"/>
      <c r="R62" s="237"/>
      <c r="S62" s="71"/>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row>
    <row r="63" spans="1:253">
      <c r="A63" s="226" t="str">
        <f ca="1">CONCATENATE(Database_cortec!E63,"*")</f>
        <v>Four 1 Gbps LC-type SFP transceivers single mode fiber 1000BASE-ZX Ethernet for up to 40 km*</v>
      </c>
      <c r="B63" s="73"/>
      <c r="C63" s="73"/>
      <c r="D63" s="76"/>
      <c r="E63" s="68"/>
      <c r="F63" s="68"/>
      <c r="G63" s="68"/>
      <c r="H63" s="68"/>
      <c r="I63" s="68"/>
      <c r="J63" s="68"/>
      <c r="K63" s="68"/>
      <c r="L63" s="68"/>
      <c r="M63" s="227" t="str">
        <f ca="1">Database_cortec!F63</f>
        <v>E</v>
      </c>
      <c r="N63" s="69"/>
      <c r="O63" s="237"/>
      <c r="P63" s="71"/>
      <c r="Q63" s="69"/>
      <c r="R63" s="237"/>
      <c r="S63" s="71"/>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c r="EO63" s="75"/>
      <c r="EP63" s="75"/>
      <c r="EQ63" s="75"/>
      <c r="ER63" s="75"/>
      <c r="ES63" s="75"/>
      <c r="ET63" s="75"/>
      <c r="EU63" s="75"/>
      <c r="EV63" s="75"/>
      <c r="EW63" s="75"/>
      <c r="EX63" s="75"/>
      <c r="EY63" s="75"/>
      <c r="EZ63" s="75"/>
      <c r="FA63" s="75"/>
      <c r="FB63" s="75"/>
      <c r="FC63" s="75"/>
      <c r="FD63" s="75"/>
      <c r="FE63" s="75"/>
      <c r="FF63" s="75"/>
      <c r="FG63" s="75"/>
      <c r="FH63" s="75"/>
      <c r="FI63" s="75"/>
      <c r="FJ63" s="75"/>
      <c r="FK63" s="75"/>
      <c r="FL63" s="75"/>
      <c r="FM63" s="75"/>
      <c r="FN63" s="75"/>
      <c r="FO63" s="75"/>
      <c r="FP63" s="75"/>
      <c r="FQ63" s="75"/>
      <c r="FR63" s="75"/>
      <c r="FS63" s="75"/>
      <c r="FT63" s="75"/>
      <c r="FU63" s="75"/>
      <c r="FV63" s="75"/>
      <c r="FW63" s="75"/>
      <c r="FX63" s="75"/>
      <c r="FY63" s="75"/>
      <c r="FZ63" s="75"/>
      <c r="GA63" s="75"/>
      <c r="GB63" s="75"/>
      <c r="GC63" s="75"/>
      <c r="GD63" s="75"/>
      <c r="GE63" s="75"/>
      <c r="GF63" s="75"/>
      <c r="GG63" s="75"/>
      <c r="GH63" s="75"/>
      <c r="GI63" s="75"/>
      <c r="GJ63" s="75"/>
      <c r="GK63" s="75"/>
      <c r="GL63" s="75"/>
      <c r="GM63" s="75"/>
      <c r="GN63" s="75"/>
      <c r="GO63" s="75"/>
      <c r="GP63" s="75"/>
      <c r="GQ63" s="75"/>
      <c r="GR63" s="75"/>
      <c r="GS63" s="75"/>
      <c r="GT63" s="75"/>
      <c r="GU63" s="75"/>
      <c r="GV63" s="75"/>
      <c r="GW63" s="75"/>
      <c r="GX63" s="75"/>
      <c r="GY63" s="75"/>
      <c r="GZ63" s="75"/>
      <c r="HA63" s="75"/>
      <c r="HB63" s="75"/>
      <c r="HC63" s="75"/>
      <c r="HD63" s="75"/>
      <c r="HE63" s="75"/>
      <c r="HF63" s="75"/>
      <c r="HG63" s="75"/>
      <c r="HH63" s="75"/>
      <c r="HI63" s="75"/>
      <c r="HJ63" s="75"/>
      <c r="HK63" s="75"/>
      <c r="HL63" s="75"/>
      <c r="HM63" s="75"/>
      <c r="HN63" s="75"/>
      <c r="HO63" s="75"/>
      <c r="HP63" s="75"/>
      <c r="HQ63" s="75"/>
      <c r="HR63" s="75"/>
      <c r="HS63" s="75"/>
      <c r="HT63" s="75"/>
      <c r="HU63" s="75"/>
      <c r="HV63" s="75"/>
      <c r="HW63" s="75"/>
      <c r="HX63" s="75"/>
      <c r="HY63" s="75"/>
      <c r="HZ63" s="75"/>
      <c r="IA63" s="75"/>
      <c r="IB63" s="75"/>
      <c r="IC63" s="75"/>
      <c r="ID63" s="75"/>
      <c r="IE63" s="75"/>
      <c r="IF63" s="75"/>
      <c r="IG63" s="75"/>
      <c r="IH63" s="75"/>
      <c r="II63" s="75"/>
      <c r="IJ63" s="75"/>
      <c r="IK63" s="75"/>
      <c r="IL63" s="75"/>
      <c r="IM63" s="75"/>
      <c r="IN63" s="75"/>
      <c r="IO63" s="75"/>
      <c r="IP63" s="75"/>
      <c r="IQ63" s="75"/>
      <c r="IR63" s="75"/>
      <c r="IS63" s="75"/>
    </row>
    <row r="64" spans="1:253">
      <c r="A64" s="226" t="str">
        <f ca="1">CONCATENATE(Database_cortec!E64,"*")</f>
        <v>Four 1 Gbps LC-type SFP transceivers single mode fiber 1000BASE-ZX Ethernet for up to 80 km*</v>
      </c>
      <c r="B64" s="73"/>
      <c r="C64" s="73"/>
      <c r="D64" s="76"/>
      <c r="E64" s="68"/>
      <c r="F64" s="68"/>
      <c r="G64" s="68"/>
      <c r="H64" s="68"/>
      <c r="I64" s="68"/>
      <c r="J64" s="68"/>
      <c r="K64" s="68"/>
      <c r="L64" s="68"/>
      <c r="M64" s="227" t="str">
        <f ca="1">Database_cortec!F64</f>
        <v>F</v>
      </c>
      <c r="N64" s="69"/>
      <c r="O64" s="237"/>
      <c r="P64" s="71"/>
      <c r="Q64" s="69"/>
      <c r="R64" s="237"/>
      <c r="S64" s="71"/>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c r="EO64" s="75"/>
      <c r="EP64" s="75"/>
      <c r="EQ64" s="75"/>
      <c r="ER64" s="75"/>
      <c r="ES64" s="75"/>
      <c r="ET64" s="75"/>
      <c r="EU64" s="75"/>
      <c r="EV64" s="75"/>
      <c r="EW64" s="75"/>
      <c r="EX64" s="75"/>
      <c r="EY64" s="75"/>
      <c r="EZ64" s="75"/>
      <c r="FA64" s="75"/>
      <c r="FB64" s="75"/>
      <c r="FC64" s="75"/>
      <c r="FD64" s="75"/>
      <c r="FE64" s="75"/>
      <c r="FF64" s="75"/>
      <c r="FG64" s="75"/>
      <c r="FH64" s="75"/>
      <c r="FI64" s="75"/>
      <c r="FJ64" s="75"/>
      <c r="FK64" s="75"/>
      <c r="FL64" s="75"/>
      <c r="FM64" s="75"/>
      <c r="FN64" s="75"/>
      <c r="FO64" s="75"/>
      <c r="FP64" s="75"/>
      <c r="FQ64" s="75"/>
      <c r="FR64" s="75"/>
      <c r="FS64" s="75"/>
      <c r="FT64" s="75"/>
      <c r="FU64" s="75"/>
      <c r="FV64" s="75"/>
      <c r="FW64" s="75"/>
      <c r="FX64" s="75"/>
      <c r="FY64" s="75"/>
      <c r="FZ64" s="75"/>
      <c r="GA64" s="75"/>
      <c r="GB64" s="75"/>
      <c r="GC64" s="75"/>
      <c r="GD64" s="75"/>
      <c r="GE64" s="75"/>
      <c r="GF64" s="75"/>
      <c r="GG64" s="75"/>
      <c r="GH64" s="75"/>
      <c r="GI64" s="75"/>
      <c r="GJ64" s="75"/>
      <c r="GK64" s="75"/>
      <c r="GL64" s="75"/>
      <c r="GM64" s="75"/>
      <c r="GN64" s="75"/>
      <c r="GO64" s="75"/>
      <c r="GP64" s="75"/>
      <c r="GQ64" s="75"/>
      <c r="GR64" s="75"/>
      <c r="GS64" s="75"/>
      <c r="GT64" s="75"/>
      <c r="GU64" s="75"/>
      <c r="GV64" s="75"/>
      <c r="GW64" s="75"/>
      <c r="GX64" s="75"/>
      <c r="GY64" s="75"/>
      <c r="GZ64" s="75"/>
      <c r="HA64" s="75"/>
      <c r="HB64" s="75"/>
      <c r="HC64" s="75"/>
      <c r="HD64" s="75"/>
      <c r="HE64" s="75"/>
      <c r="HF64" s="75"/>
      <c r="HG64" s="75"/>
      <c r="HH64" s="75"/>
      <c r="HI64" s="75"/>
      <c r="HJ64" s="75"/>
      <c r="HK64" s="75"/>
      <c r="HL64" s="75"/>
      <c r="HM64" s="75"/>
      <c r="HN64" s="75"/>
      <c r="HO64" s="75"/>
      <c r="HP64" s="75"/>
      <c r="HQ64" s="75"/>
      <c r="HR64" s="75"/>
      <c r="HS64" s="75"/>
      <c r="HT64" s="75"/>
      <c r="HU64" s="75"/>
      <c r="HV64" s="75"/>
      <c r="HW64" s="75"/>
      <c r="HX64" s="75"/>
      <c r="HY64" s="75"/>
      <c r="HZ64" s="75"/>
      <c r="IA64" s="75"/>
      <c r="IB64" s="75"/>
      <c r="IC64" s="75"/>
      <c r="ID64" s="75"/>
      <c r="IE64" s="75"/>
      <c r="IF64" s="75"/>
      <c r="IG64" s="75"/>
      <c r="IH64" s="75"/>
      <c r="II64" s="75"/>
      <c r="IJ64" s="75"/>
      <c r="IK64" s="75"/>
      <c r="IL64" s="75"/>
      <c r="IM64" s="75"/>
      <c r="IN64" s="75"/>
      <c r="IO64" s="75"/>
      <c r="IP64" s="75"/>
      <c r="IQ64" s="75"/>
      <c r="IR64" s="75"/>
      <c r="IS64" s="75"/>
    </row>
    <row r="65" spans="1:253">
      <c r="A65" s="226" t="str">
        <f ca="1">Database_cortec!E65</f>
        <v>Four 100 Mbps LC-type SFP transceivers multi mode fiber 100BASE-FX Ethernet for up to 2 km</v>
      </c>
      <c r="B65" s="73"/>
      <c r="C65" s="73"/>
      <c r="D65" s="76"/>
      <c r="E65" s="68"/>
      <c r="F65" s="68"/>
      <c r="G65" s="68"/>
      <c r="H65" s="68"/>
      <c r="I65" s="68"/>
      <c r="J65" s="68"/>
      <c r="K65" s="68"/>
      <c r="L65" s="68"/>
      <c r="M65" s="227" t="str">
        <f ca="1">Database_cortec!F65</f>
        <v>H</v>
      </c>
      <c r="N65" s="69"/>
      <c r="O65" s="237"/>
      <c r="P65" s="71"/>
      <c r="Q65" s="69"/>
      <c r="R65" s="237"/>
      <c r="S65" s="71"/>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5"/>
      <c r="FF65" s="75"/>
      <c r="FG65" s="75"/>
      <c r="FH65" s="75"/>
      <c r="FI65" s="75"/>
      <c r="FJ65" s="75"/>
      <c r="FK65" s="75"/>
      <c r="FL65" s="75"/>
      <c r="FM65" s="75"/>
      <c r="FN65" s="75"/>
      <c r="FO65" s="75"/>
      <c r="FP65" s="75"/>
      <c r="FQ65" s="75"/>
      <c r="FR65" s="75"/>
      <c r="FS65" s="75"/>
      <c r="FT65" s="75"/>
      <c r="FU65" s="75"/>
      <c r="FV65" s="75"/>
      <c r="FW65" s="75"/>
      <c r="FX65" s="75"/>
      <c r="FY65" s="75"/>
      <c r="FZ65" s="75"/>
      <c r="GA65" s="75"/>
      <c r="GB65" s="75"/>
      <c r="GC65" s="75"/>
      <c r="GD65" s="75"/>
      <c r="GE65" s="75"/>
      <c r="GF65" s="75"/>
      <c r="GG65" s="75"/>
      <c r="GH65" s="75"/>
      <c r="GI65" s="75"/>
      <c r="GJ65" s="75"/>
      <c r="GK65" s="75"/>
      <c r="GL65" s="75"/>
      <c r="GM65" s="75"/>
      <c r="GN65" s="75"/>
      <c r="GO65" s="75"/>
      <c r="GP65" s="75"/>
      <c r="GQ65" s="75"/>
      <c r="GR65" s="75"/>
      <c r="GS65" s="75"/>
      <c r="GT65" s="75"/>
      <c r="GU65" s="75"/>
      <c r="GV65" s="75"/>
      <c r="GW65" s="75"/>
      <c r="GX65" s="75"/>
      <c r="GY65" s="75"/>
      <c r="GZ65" s="75"/>
      <c r="HA65" s="75"/>
      <c r="HB65" s="75"/>
      <c r="HC65" s="75"/>
      <c r="HD65" s="75"/>
      <c r="HE65" s="75"/>
      <c r="HF65" s="75"/>
      <c r="HG65" s="75"/>
      <c r="HH65" s="75"/>
      <c r="HI65" s="75"/>
      <c r="HJ65" s="75"/>
      <c r="HK65" s="75"/>
      <c r="HL65" s="75"/>
      <c r="HM65" s="75"/>
      <c r="HN65" s="75"/>
      <c r="HO65" s="75"/>
      <c r="HP65" s="75"/>
      <c r="HQ65" s="75"/>
      <c r="HR65" s="75"/>
      <c r="HS65" s="75"/>
      <c r="HT65" s="75"/>
      <c r="HU65" s="75"/>
      <c r="HV65" s="75"/>
      <c r="HW65" s="75"/>
      <c r="HX65" s="75"/>
      <c r="HY65" s="75"/>
      <c r="HZ65" s="75"/>
      <c r="IA65" s="75"/>
      <c r="IB65" s="75"/>
      <c r="IC65" s="75"/>
      <c r="ID65" s="75"/>
      <c r="IE65" s="75"/>
      <c r="IF65" s="75"/>
      <c r="IG65" s="75"/>
      <c r="IH65" s="75"/>
      <c r="II65" s="75"/>
      <c r="IJ65" s="75"/>
      <c r="IK65" s="75"/>
      <c r="IL65" s="75"/>
      <c r="IM65" s="75"/>
      <c r="IN65" s="75"/>
      <c r="IO65" s="75"/>
      <c r="IP65" s="75"/>
      <c r="IQ65" s="75"/>
      <c r="IR65" s="75"/>
      <c r="IS65" s="75"/>
    </row>
    <row r="66" spans="1:253">
      <c r="A66" s="226" t="str">
        <f ca="1">Database_cortec!E66</f>
        <v>Four RJ45 copper 10/100BASE-TX</v>
      </c>
      <c r="B66" s="73"/>
      <c r="C66" s="73"/>
      <c r="D66" s="76"/>
      <c r="E66" s="68"/>
      <c r="F66" s="68"/>
      <c r="G66" s="68"/>
      <c r="H66" s="68"/>
      <c r="I66" s="68"/>
      <c r="J66" s="68"/>
      <c r="K66" s="68"/>
      <c r="L66" s="68"/>
      <c r="M66" s="227" t="str">
        <f ca="1">Database_cortec!F66</f>
        <v>I</v>
      </c>
      <c r="N66" s="69"/>
      <c r="O66" s="237"/>
      <c r="P66" s="71"/>
      <c r="Q66" s="69"/>
      <c r="R66" s="237"/>
      <c r="S66" s="71"/>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5"/>
      <c r="FF66" s="75"/>
      <c r="FG66" s="75"/>
      <c r="FH66" s="75"/>
      <c r="FI66" s="75"/>
      <c r="FJ66" s="75"/>
      <c r="FK66" s="75"/>
      <c r="FL66" s="75"/>
      <c r="FM66" s="75"/>
      <c r="FN66" s="75"/>
      <c r="FO66" s="75"/>
      <c r="FP66" s="75"/>
      <c r="FQ66" s="75"/>
      <c r="FR66" s="75"/>
      <c r="FS66" s="75"/>
      <c r="FT66" s="75"/>
      <c r="FU66" s="75"/>
      <c r="FV66" s="75"/>
      <c r="FW66" s="75"/>
      <c r="FX66" s="75"/>
      <c r="FY66" s="75"/>
      <c r="FZ66" s="75"/>
      <c r="GA66" s="75"/>
      <c r="GB66" s="75"/>
      <c r="GC66" s="75"/>
      <c r="GD66" s="75"/>
      <c r="GE66" s="75"/>
      <c r="GF66" s="75"/>
      <c r="GG66" s="75"/>
      <c r="GH66" s="75"/>
      <c r="GI66" s="75"/>
      <c r="GJ66" s="75"/>
      <c r="GK66" s="75"/>
      <c r="GL66" s="75"/>
      <c r="GM66" s="75"/>
      <c r="GN66" s="75"/>
      <c r="GO66" s="75"/>
      <c r="GP66" s="75"/>
      <c r="GQ66" s="75"/>
      <c r="GR66" s="75"/>
      <c r="GS66" s="75"/>
      <c r="GT66" s="75"/>
      <c r="GU66" s="75"/>
      <c r="GV66" s="75"/>
      <c r="GW66" s="75"/>
      <c r="GX66" s="75"/>
      <c r="GY66" s="75"/>
      <c r="GZ66" s="75"/>
      <c r="HA66" s="75"/>
      <c r="HB66" s="75"/>
      <c r="HC66" s="75"/>
      <c r="HD66" s="75"/>
      <c r="HE66" s="75"/>
      <c r="HF66" s="75"/>
      <c r="HG66" s="75"/>
      <c r="HH66" s="75"/>
      <c r="HI66" s="75"/>
      <c r="HJ66" s="75"/>
      <c r="HK66" s="75"/>
      <c r="HL66" s="75"/>
      <c r="HM66" s="75"/>
      <c r="HN66" s="75"/>
      <c r="HO66" s="75"/>
      <c r="HP66" s="75"/>
      <c r="HQ66" s="75"/>
      <c r="HR66" s="75"/>
      <c r="HS66" s="75"/>
      <c r="HT66" s="75"/>
      <c r="HU66" s="75"/>
      <c r="HV66" s="75"/>
      <c r="HW66" s="75"/>
      <c r="HX66" s="75"/>
      <c r="HY66" s="75"/>
      <c r="HZ66" s="75"/>
      <c r="IA66" s="75"/>
      <c r="IB66" s="75"/>
      <c r="IC66" s="75"/>
      <c r="ID66" s="75"/>
      <c r="IE66" s="75"/>
      <c r="IF66" s="75"/>
      <c r="IG66" s="75"/>
      <c r="IH66" s="75"/>
      <c r="II66" s="75"/>
      <c r="IJ66" s="75"/>
      <c r="IK66" s="75"/>
      <c r="IL66" s="75"/>
      <c r="IM66" s="75"/>
      <c r="IN66" s="75"/>
      <c r="IO66" s="75"/>
      <c r="IP66" s="75"/>
      <c r="IQ66" s="75"/>
      <c r="IR66" s="75"/>
      <c r="IS66" s="75"/>
    </row>
    <row r="67" spans="1:253">
      <c r="A67" s="226" t="str">
        <f ca="1">CONCATENATE(Database_cortec!E67,"*")</f>
        <v>Four 1 Gbps RJ45 SFP transceivers Ethernet 10/100BASE-TX/1000BASE-T*</v>
      </c>
      <c r="B67" s="73"/>
      <c r="C67" s="73"/>
      <c r="D67" s="76"/>
      <c r="E67" s="68"/>
      <c r="F67" s="68"/>
      <c r="G67" s="68"/>
      <c r="H67" s="68"/>
      <c r="I67" s="68"/>
      <c r="J67" s="68"/>
      <c r="K67" s="68"/>
      <c r="L67" s="68"/>
      <c r="M67" s="227" t="str">
        <f ca="1">Database_cortec!F67</f>
        <v>J</v>
      </c>
      <c r="N67" s="69"/>
      <c r="O67" s="237"/>
      <c r="P67" s="71"/>
      <c r="Q67" s="69"/>
      <c r="R67" s="237"/>
      <c r="S67" s="71"/>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c r="EO67" s="75"/>
      <c r="EP67" s="75"/>
      <c r="EQ67" s="75"/>
      <c r="ER67" s="75"/>
      <c r="ES67" s="75"/>
      <c r="ET67" s="75"/>
      <c r="EU67" s="75"/>
      <c r="EV67" s="75"/>
      <c r="EW67" s="75"/>
      <c r="EX67" s="75"/>
      <c r="EY67" s="75"/>
      <c r="EZ67" s="75"/>
      <c r="FA67" s="75"/>
      <c r="FB67" s="75"/>
      <c r="FC67" s="75"/>
      <c r="FD67" s="75"/>
      <c r="FE67" s="75"/>
      <c r="FF67" s="75"/>
      <c r="FG67" s="75"/>
      <c r="FH67" s="75"/>
      <c r="FI67" s="75"/>
      <c r="FJ67" s="75"/>
      <c r="FK67" s="75"/>
      <c r="FL67" s="75"/>
      <c r="FM67" s="75"/>
      <c r="FN67" s="75"/>
      <c r="FO67" s="75"/>
      <c r="FP67" s="75"/>
      <c r="FQ67" s="75"/>
      <c r="FR67" s="75"/>
      <c r="FS67" s="75"/>
      <c r="FT67" s="75"/>
      <c r="FU67" s="75"/>
      <c r="FV67" s="75"/>
      <c r="FW67" s="75"/>
      <c r="FX67" s="75"/>
      <c r="FY67" s="75"/>
      <c r="FZ67" s="75"/>
      <c r="GA67" s="75"/>
      <c r="GB67" s="75"/>
      <c r="GC67" s="75"/>
      <c r="GD67" s="75"/>
      <c r="GE67" s="75"/>
      <c r="GF67" s="75"/>
      <c r="GG67" s="75"/>
      <c r="GH67" s="75"/>
      <c r="GI67" s="75"/>
      <c r="GJ67" s="75"/>
      <c r="GK67" s="75"/>
      <c r="GL67" s="75"/>
      <c r="GM67" s="75"/>
      <c r="GN67" s="75"/>
      <c r="GO67" s="75"/>
      <c r="GP67" s="75"/>
      <c r="GQ67" s="75"/>
      <c r="GR67" s="75"/>
      <c r="GS67" s="75"/>
      <c r="GT67" s="75"/>
      <c r="GU67" s="75"/>
      <c r="GV67" s="75"/>
      <c r="GW67" s="75"/>
      <c r="GX67" s="75"/>
      <c r="GY67" s="75"/>
      <c r="GZ67" s="75"/>
      <c r="HA67" s="75"/>
      <c r="HB67" s="75"/>
      <c r="HC67" s="75"/>
      <c r="HD67" s="75"/>
      <c r="HE67" s="75"/>
      <c r="HF67" s="75"/>
      <c r="HG67" s="75"/>
      <c r="HH67" s="75"/>
      <c r="HI67" s="75"/>
      <c r="HJ67" s="75"/>
      <c r="HK67" s="75"/>
      <c r="HL67" s="75"/>
      <c r="HM67" s="75"/>
      <c r="HN67" s="75"/>
      <c r="HO67" s="75"/>
      <c r="HP67" s="75"/>
      <c r="HQ67" s="75"/>
      <c r="HR67" s="75"/>
      <c r="HS67" s="75"/>
      <c r="HT67" s="75"/>
      <c r="HU67" s="75"/>
      <c r="HV67" s="75"/>
      <c r="HW67" s="75"/>
      <c r="HX67" s="75"/>
      <c r="HY67" s="75"/>
      <c r="HZ67" s="75"/>
      <c r="IA67" s="75"/>
      <c r="IB67" s="75"/>
      <c r="IC67" s="75"/>
      <c r="ID67" s="75"/>
      <c r="IE67" s="75"/>
      <c r="IF67" s="75"/>
      <c r="IG67" s="75"/>
      <c r="IH67" s="75"/>
      <c r="II67" s="75"/>
      <c r="IJ67" s="75"/>
      <c r="IK67" s="75"/>
      <c r="IL67" s="75"/>
      <c r="IM67" s="75"/>
      <c r="IN67" s="75"/>
      <c r="IO67" s="75"/>
      <c r="IP67" s="75"/>
      <c r="IQ67" s="75"/>
      <c r="IR67" s="75"/>
      <c r="IS67" s="75"/>
    </row>
    <row r="68" spans="1:253">
      <c r="A68" s="226" t="str">
        <f ca="1">Database_cortec!E68</f>
        <v>Not installed</v>
      </c>
      <c r="B68" s="73"/>
      <c r="C68" s="73"/>
      <c r="D68" s="76"/>
      <c r="E68" s="68"/>
      <c r="F68" s="68"/>
      <c r="G68" s="68"/>
      <c r="H68" s="68"/>
      <c r="I68" s="68"/>
      <c r="J68" s="68"/>
      <c r="K68" s="68"/>
      <c r="L68" s="68"/>
      <c r="M68" s="227" t="str">
        <f ca="1">Database_cortec!F68</f>
        <v>X</v>
      </c>
      <c r="N68" s="69"/>
      <c r="O68" s="237"/>
      <c r="P68" s="71"/>
      <c r="Q68" s="69"/>
      <c r="R68" s="237"/>
      <c r="S68" s="71"/>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c r="EO68" s="75"/>
      <c r="EP68" s="75"/>
      <c r="EQ68" s="75"/>
      <c r="ER68" s="75"/>
      <c r="ES68" s="75"/>
      <c r="ET68" s="75"/>
      <c r="EU68" s="75"/>
      <c r="EV68" s="75"/>
      <c r="EW68" s="75"/>
      <c r="EX68" s="75"/>
      <c r="EY68" s="75"/>
      <c r="EZ68" s="75"/>
      <c r="FA68" s="75"/>
      <c r="FB68" s="75"/>
      <c r="FC68" s="75"/>
      <c r="FD68" s="75"/>
      <c r="FE68" s="75"/>
      <c r="FF68" s="75"/>
      <c r="FG68" s="75"/>
      <c r="FH68" s="75"/>
      <c r="FI68" s="75"/>
      <c r="FJ68" s="75"/>
      <c r="FK68" s="75"/>
      <c r="FL68" s="75"/>
      <c r="FM68" s="75"/>
      <c r="FN68" s="75"/>
      <c r="FO68" s="75"/>
      <c r="FP68" s="75"/>
      <c r="FQ68" s="75"/>
      <c r="FR68" s="75"/>
      <c r="FS68" s="75"/>
      <c r="FT68" s="75"/>
      <c r="FU68" s="75"/>
      <c r="FV68" s="75"/>
      <c r="FW68" s="75"/>
      <c r="FX68" s="75"/>
      <c r="FY68" s="75"/>
      <c r="FZ68" s="75"/>
      <c r="GA68" s="75"/>
      <c r="GB68" s="75"/>
      <c r="GC68" s="75"/>
      <c r="GD68" s="75"/>
      <c r="GE68" s="75"/>
      <c r="GF68" s="75"/>
      <c r="GG68" s="75"/>
      <c r="GH68" s="75"/>
      <c r="GI68" s="75"/>
      <c r="GJ68" s="75"/>
      <c r="GK68" s="75"/>
      <c r="GL68" s="75"/>
      <c r="GM68" s="75"/>
      <c r="GN68" s="75"/>
      <c r="GO68" s="75"/>
      <c r="GP68" s="75"/>
      <c r="GQ68" s="75"/>
      <c r="GR68" s="75"/>
      <c r="GS68" s="75"/>
      <c r="GT68" s="75"/>
      <c r="GU68" s="75"/>
      <c r="GV68" s="75"/>
      <c r="GW68" s="75"/>
      <c r="GX68" s="75"/>
      <c r="GY68" s="75"/>
      <c r="GZ68" s="75"/>
      <c r="HA68" s="75"/>
      <c r="HB68" s="75"/>
      <c r="HC68" s="75"/>
      <c r="HD68" s="75"/>
      <c r="HE68" s="75"/>
      <c r="HF68" s="75"/>
      <c r="HG68" s="75"/>
      <c r="HH68" s="75"/>
      <c r="HI68" s="75"/>
      <c r="HJ68" s="75"/>
      <c r="HK68" s="75"/>
      <c r="HL68" s="75"/>
      <c r="HM68" s="75"/>
      <c r="HN68" s="75"/>
      <c r="HO68" s="75"/>
      <c r="HP68" s="75"/>
      <c r="HQ68" s="75"/>
      <c r="HR68" s="75"/>
      <c r="HS68" s="75"/>
      <c r="HT68" s="75"/>
      <c r="HU68" s="75"/>
      <c r="HV68" s="75"/>
      <c r="HW68" s="75"/>
      <c r="HX68" s="75"/>
      <c r="HY68" s="75"/>
      <c r="HZ68" s="75"/>
      <c r="IA68" s="75"/>
      <c r="IB68" s="75"/>
      <c r="IC68" s="75"/>
      <c r="ID68" s="75"/>
      <c r="IE68" s="75"/>
      <c r="IF68" s="75"/>
      <c r="IG68" s="75"/>
      <c r="IH68" s="75"/>
      <c r="II68" s="75"/>
      <c r="IJ68" s="75"/>
      <c r="IK68" s="75"/>
      <c r="IL68" s="75"/>
      <c r="IM68" s="75"/>
      <c r="IN68" s="75"/>
      <c r="IO68" s="75"/>
      <c r="IP68" s="75"/>
      <c r="IQ68" s="75"/>
      <c r="IR68" s="75"/>
      <c r="IS68" s="75"/>
    </row>
    <row r="69" spans="1:253">
      <c r="A69" s="80"/>
      <c r="B69" s="107"/>
      <c r="C69" s="107"/>
      <c r="D69" s="108"/>
      <c r="E69" s="108"/>
      <c r="F69" s="108"/>
      <c r="G69" s="108"/>
      <c r="H69" s="108"/>
      <c r="I69" s="108"/>
      <c r="J69" s="108"/>
      <c r="K69" s="108"/>
      <c r="L69" s="108"/>
      <c r="M69" s="108"/>
      <c r="N69" s="69"/>
      <c r="O69" s="237"/>
      <c r="P69" s="71"/>
      <c r="Q69" s="69"/>
      <c r="R69" s="237"/>
      <c r="S69" s="71"/>
    </row>
    <row r="70" spans="1:253" ht="13">
      <c r="A70" s="66" t="str">
        <f>Database_cortec!B70</f>
        <v>Interface Module 4</v>
      </c>
      <c r="N70" s="69"/>
      <c r="O70" s="237"/>
      <c r="P70" s="71"/>
      <c r="Q70" s="69"/>
      <c r="R70" s="237"/>
      <c r="S70" s="71"/>
    </row>
    <row r="71" spans="1:253">
      <c r="A71" s="226" t="str">
        <f ca="1">CONCATENATE(Database_cortec!E71,"*")</f>
        <v>Four 1 Gbps RJ45 copper 10/100BASE-TX/1000BASE-T Ethernet ports*</v>
      </c>
      <c r="N71" s="79" t="str">
        <f ca="1">Database_cortec!F71</f>
        <v>A</v>
      </c>
      <c r="O71" s="237"/>
      <c r="P71" s="71"/>
      <c r="Q71" s="69"/>
      <c r="R71" s="237"/>
      <c r="S71" s="71"/>
    </row>
    <row r="72" spans="1:253">
      <c r="A72" s="226" t="str">
        <f ca="1">Database_cortec!E72</f>
        <v>Four slots for SFP transceivers (Up to 1 Gbps in the 24 ports model / Up to 100 Mbps in the 20 ports model)</v>
      </c>
      <c r="N72" s="227" t="str">
        <f ca="1">Database_cortec!F72</f>
        <v>B</v>
      </c>
      <c r="O72" s="237"/>
      <c r="P72" s="71"/>
      <c r="Q72" s="69"/>
      <c r="R72" s="237"/>
      <c r="S72" s="71"/>
    </row>
    <row r="73" spans="1:253">
      <c r="A73" s="226" t="str">
        <f ca="1">CONCATENATE(Database_cortec!E73,"*")</f>
        <v>Four 1 Gbps LC-type SFP transceivers multi mode fiber 1000BASE-SX Ethernet for up to 0.5 km*</v>
      </c>
      <c r="N73" s="227" t="str">
        <f ca="1">Database_cortec!F73</f>
        <v>C</v>
      </c>
      <c r="O73" s="237"/>
      <c r="P73" s="71"/>
      <c r="Q73" s="69"/>
      <c r="R73" s="237"/>
      <c r="S73" s="71"/>
    </row>
    <row r="74" spans="1:253">
      <c r="A74" s="226" t="str">
        <f ca="1">CONCATENATE(Database_cortec!E74,"*")</f>
        <v>Four 1 Gbps LC-type SFP transceivers single mode fiber 1000BASE-LX Ethernet for up to 20 km*</v>
      </c>
      <c r="N74" s="227" t="str">
        <f ca="1">Database_cortec!F74</f>
        <v>D</v>
      </c>
      <c r="O74" s="237"/>
      <c r="P74" s="71"/>
      <c r="Q74" s="69"/>
      <c r="R74" s="237"/>
      <c r="S74" s="71"/>
    </row>
    <row r="75" spans="1:253">
      <c r="A75" s="226" t="str">
        <f ca="1">CONCATENATE(Database_cortec!E75,"*")</f>
        <v>Four 1 Gbps LC-type SFP transceivers single mode fiber 1000BASE-ZX Ethernet for up to 40 km*</v>
      </c>
      <c r="N75" s="227" t="str">
        <f ca="1">Database_cortec!F75</f>
        <v>E</v>
      </c>
      <c r="O75" s="237"/>
      <c r="P75" s="71"/>
      <c r="Q75" s="69"/>
      <c r="R75" s="237"/>
      <c r="S75" s="71"/>
    </row>
    <row r="76" spans="1:253">
      <c r="A76" s="226" t="str">
        <f ca="1">CONCATENATE(Database_cortec!E76,"*")</f>
        <v>Four 1 Gbps LC-type SFP transceivers single mode fiber 1000BASE-ZX Ethernet for up to 80 km*</v>
      </c>
      <c r="N76" s="227" t="str">
        <f ca="1">Database_cortec!F76</f>
        <v>F</v>
      </c>
      <c r="O76" s="237"/>
      <c r="P76" s="71"/>
      <c r="Q76" s="69"/>
      <c r="R76" s="237"/>
      <c r="S76" s="71"/>
    </row>
    <row r="77" spans="1:253">
      <c r="A77" s="226" t="str">
        <f ca="1">Database_cortec!E77</f>
        <v>Four 100 Mbps LC-type SFP transceivers multi mode fiber 100BASE-FX Ethernet for up to 2 km</v>
      </c>
      <c r="N77" s="227" t="str">
        <f ca="1">Database_cortec!F77</f>
        <v>H</v>
      </c>
      <c r="O77" s="237"/>
      <c r="P77" s="71"/>
      <c r="Q77" s="69"/>
      <c r="R77" s="237"/>
      <c r="S77" s="71"/>
    </row>
    <row r="78" spans="1:253">
      <c r="A78" s="226" t="str">
        <f ca="1">Database_cortec!E78</f>
        <v>Four RJ45 copper 10/100BASE-TX</v>
      </c>
      <c r="N78" s="227" t="str">
        <f ca="1">Database_cortec!F78</f>
        <v>I</v>
      </c>
      <c r="O78" s="237"/>
      <c r="P78" s="71"/>
      <c r="Q78" s="69"/>
      <c r="R78" s="237"/>
      <c r="S78" s="71"/>
    </row>
    <row r="79" spans="1:253">
      <c r="A79" s="226" t="str">
        <f ca="1">CONCATENATE(Database_cortec!E79,"*")</f>
        <v>Four 1 Gbps RJ45 SFP transceivers Ethernet 10/100BASE-TX/1000BASE-T*</v>
      </c>
      <c r="N79" s="227" t="str">
        <f ca="1">Database_cortec!F79</f>
        <v>J</v>
      </c>
      <c r="O79" s="237"/>
      <c r="P79" s="71"/>
      <c r="Q79" s="69"/>
      <c r="R79" s="237"/>
      <c r="S79" s="71"/>
    </row>
    <row r="80" spans="1:253">
      <c r="A80" s="226" t="str">
        <f ca="1">Database_cortec!E80</f>
        <v>Not installed</v>
      </c>
      <c r="N80" s="227" t="str">
        <f ca="1">Database_cortec!F80</f>
        <v>X</v>
      </c>
      <c r="O80" s="237"/>
      <c r="P80" s="71"/>
      <c r="Q80" s="69"/>
      <c r="R80" s="237"/>
      <c r="S80" s="71"/>
    </row>
    <row r="81" spans="1:19">
      <c r="A81" s="80"/>
      <c r="B81" s="107"/>
      <c r="C81" s="107"/>
      <c r="D81" s="108"/>
      <c r="E81" s="108"/>
      <c r="F81" s="108"/>
      <c r="G81" s="108"/>
      <c r="H81" s="108"/>
      <c r="I81" s="108"/>
      <c r="J81" s="108"/>
      <c r="K81" s="108"/>
      <c r="L81" s="108"/>
      <c r="M81" s="108"/>
      <c r="N81" s="109"/>
      <c r="O81" s="237"/>
      <c r="P81" s="71"/>
      <c r="Q81" s="69"/>
      <c r="R81" s="237"/>
      <c r="S81" s="71"/>
    </row>
    <row r="82" spans="1:19" ht="13">
      <c r="A82" s="66" t="str">
        <f>Database_cortec!B82</f>
        <v>Interface Module 5</v>
      </c>
      <c r="O82" s="237"/>
      <c r="P82" s="71"/>
      <c r="Q82" s="69"/>
      <c r="R82" s="237"/>
      <c r="S82" s="71"/>
    </row>
    <row r="83" spans="1:19">
      <c r="A83" s="226" t="str">
        <f ca="1">CONCATENATE(Database_cortec!E83,"*")</f>
        <v>Four 1 Gbps RJ45 copper 10/100BASE-TX/1000BASE-T Ethernet ports*</v>
      </c>
      <c r="O83" s="79" t="str">
        <f ca="1">Database_cortec!F83</f>
        <v>A</v>
      </c>
      <c r="P83" s="71"/>
      <c r="Q83" s="69"/>
      <c r="R83" s="237"/>
      <c r="S83" s="71"/>
    </row>
    <row r="84" spans="1:19">
      <c r="A84" s="226" t="str">
        <f ca="1">Database_cortec!E84</f>
        <v>Four slots for SFP transceivers (Up to 1 Gbps in the 24 ports model / Up to 100 Mbps in the 20 ports model)</v>
      </c>
      <c r="O84" s="227" t="str">
        <f ca="1">Database_cortec!F84</f>
        <v>B</v>
      </c>
      <c r="P84" s="71"/>
      <c r="Q84" s="69"/>
      <c r="R84" s="237"/>
      <c r="S84" s="71"/>
    </row>
    <row r="85" spans="1:19">
      <c r="A85" s="226" t="str">
        <f ca="1">CONCATENATE(Database_cortec!E85,"*")</f>
        <v>Four 1 Gbps LC-type SFP transceivers multi mode fiber 1000BASE-SX Ethernet for up to 0.5 km*</v>
      </c>
      <c r="O85" s="227" t="str">
        <f ca="1">Database_cortec!F85</f>
        <v>C</v>
      </c>
      <c r="P85" s="71"/>
      <c r="Q85" s="69"/>
      <c r="R85" s="237"/>
      <c r="S85" s="71"/>
    </row>
    <row r="86" spans="1:19">
      <c r="A86" s="226" t="str">
        <f ca="1">CONCATENATE(Database_cortec!E86,"*")</f>
        <v>Four 1 Gbps LC-type SFP transceivers single mode fiber 1000BASE-LX Ethernet for up to 20 km*</v>
      </c>
      <c r="O86" s="227" t="str">
        <f ca="1">Database_cortec!F86</f>
        <v>D</v>
      </c>
      <c r="P86" s="71"/>
      <c r="Q86" s="69"/>
      <c r="R86" s="237"/>
      <c r="S86" s="71"/>
    </row>
    <row r="87" spans="1:19">
      <c r="A87" s="226" t="str">
        <f ca="1">CONCATENATE(Database_cortec!E87,"*")</f>
        <v>Four 1 Gbps LC-type SFP transceivers single mode fiber 1000BASE-ZX Ethernet for up to 40 km*</v>
      </c>
      <c r="O87" s="227" t="str">
        <f ca="1">Database_cortec!F87</f>
        <v>E</v>
      </c>
      <c r="P87" s="71"/>
      <c r="Q87" s="69"/>
      <c r="R87" s="237"/>
      <c r="S87" s="71"/>
    </row>
    <row r="88" spans="1:19">
      <c r="A88" s="226" t="str">
        <f ca="1">CONCATENATE(Database_cortec!E88,"*")</f>
        <v>Four 1 Gbps LC-type SFP transceivers single mode fiber 1000BASE-ZX Ethernet for up to 80 km*</v>
      </c>
      <c r="O88" s="227" t="str">
        <f ca="1">Database_cortec!F88</f>
        <v>F</v>
      </c>
      <c r="P88" s="71"/>
      <c r="Q88" s="69"/>
      <c r="R88" s="237"/>
      <c r="S88" s="71"/>
    </row>
    <row r="89" spans="1:19">
      <c r="A89" s="226" t="str">
        <f ca="1">Database_cortec!E89</f>
        <v>Four 100 Mbps LC-type SFP transceivers multi mode fiber 100BASE-FX Ethernet for up to 2 km</v>
      </c>
      <c r="O89" s="227" t="str">
        <f ca="1">Database_cortec!F89</f>
        <v>H</v>
      </c>
      <c r="P89" s="71"/>
      <c r="Q89" s="69"/>
      <c r="R89" s="237"/>
      <c r="S89" s="71"/>
    </row>
    <row r="90" spans="1:19">
      <c r="A90" s="226" t="str">
        <f ca="1">Database_cortec!E90</f>
        <v>Four RJ45 copper 10/100BASE-TX</v>
      </c>
      <c r="O90" s="227" t="str">
        <f ca="1">Database_cortec!F90</f>
        <v>I</v>
      </c>
      <c r="P90" s="71"/>
      <c r="Q90" s="69"/>
      <c r="R90" s="237"/>
      <c r="S90" s="71"/>
    </row>
    <row r="91" spans="1:19">
      <c r="A91" s="226" t="str">
        <f ca="1">CONCATENATE(Database_cortec!E91,"*")</f>
        <v>Four 1 Gbps RJ45 SFP transceivers Ethernet 10/100BASE-TX/1000BASE-T*</v>
      </c>
      <c r="O91" s="227" t="str">
        <f ca="1">Database_cortec!F91</f>
        <v>J</v>
      </c>
      <c r="P91" s="71"/>
      <c r="Q91" s="69"/>
      <c r="R91" s="237"/>
      <c r="S91" s="71"/>
    </row>
    <row r="92" spans="1:19">
      <c r="A92" s="226" t="str">
        <f ca="1">Database_cortec!E92</f>
        <v>Not installed</v>
      </c>
      <c r="O92" s="227" t="str">
        <f ca="1">Database_cortec!F92</f>
        <v>X</v>
      </c>
      <c r="P92" s="71"/>
      <c r="Q92" s="69"/>
      <c r="R92" s="237"/>
      <c r="S92" s="71"/>
    </row>
    <row r="93" spans="1:19">
      <c r="A93" s="72"/>
      <c r="P93" s="71"/>
      <c r="Q93" s="69"/>
      <c r="R93" s="237"/>
      <c r="S93" s="71"/>
    </row>
    <row r="94" spans="1:19" ht="13">
      <c r="A94" s="77" t="str">
        <f>Database_cortec!B94</f>
        <v>Interface Module 6 (Only available in the 24 ports model)</v>
      </c>
      <c r="B94" s="117"/>
      <c r="C94" s="117"/>
      <c r="D94" s="118"/>
      <c r="E94" s="118"/>
      <c r="F94" s="118"/>
      <c r="G94" s="118"/>
      <c r="H94" s="118"/>
      <c r="I94" s="118"/>
      <c r="J94" s="118"/>
      <c r="K94" s="118"/>
      <c r="L94" s="118"/>
      <c r="M94" s="118"/>
      <c r="N94" s="118"/>
      <c r="O94" s="118"/>
      <c r="P94" s="71"/>
      <c r="Q94" s="69"/>
      <c r="R94" s="237"/>
      <c r="S94" s="71"/>
    </row>
    <row r="95" spans="1:19">
      <c r="A95" s="226" t="str">
        <f ca="1">CONCATENATE(Database_cortec!E95,"*")</f>
        <v>Four 1 Gbps RJ45 copper 10/100BASE-TX/1000BASE-T Ethernet ports*</v>
      </c>
      <c r="B95" s="56"/>
      <c r="C95" s="56"/>
      <c r="D95" s="57"/>
      <c r="E95" s="57"/>
      <c r="F95" s="57"/>
      <c r="G95" s="57"/>
      <c r="H95" s="224"/>
      <c r="I95" s="224"/>
      <c r="J95" s="224"/>
      <c r="K95" s="57"/>
      <c r="L95" s="57"/>
      <c r="M95" s="57"/>
      <c r="P95" s="79" t="str">
        <f ca="1">Database_cortec!F95</f>
        <v>A</v>
      </c>
      <c r="Q95" s="69"/>
      <c r="R95" s="237"/>
      <c r="S95" s="71"/>
    </row>
    <row r="96" spans="1:19">
      <c r="A96" s="226" t="str">
        <f ca="1">CONCATENATE(Database_cortec!E96,"*")</f>
        <v>Four slots for SFP transceivers (up to 1 Gbps)*</v>
      </c>
      <c r="B96" s="56"/>
      <c r="C96" s="56"/>
      <c r="D96" s="57"/>
      <c r="E96" s="57"/>
      <c r="F96" s="57"/>
      <c r="G96" s="57"/>
      <c r="H96" s="224"/>
      <c r="I96" s="224"/>
      <c r="J96" s="224"/>
      <c r="K96" s="57"/>
      <c r="L96" s="57"/>
      <c r="M96" s="57"/>
      <c r="P96" s="227" t="str">
        <f ca="1">Database_cortec!F96</f>
        <v>B</v>
      </c>
      <c r="Q96" s="69"/>
      <c r="R96" s="237"/>
      <c r="S96" s="71"/>
    </row>
    <row r="97" spans="1:19">
      <c r="A97" s="226" t="str">
        <f ca="1">CONCATENATE(Database_cortec!E97,"*")</f>
        <v>Four 1 Gbps LC-type SFP transceivers multi mode fiber 1000BASE-SX Ethernet for up to 0.5 km*</v>
      </c>
      <c r="B97" s="56"/>
      <c r="C97" s="56"/>
      <c r="D97" s="57"/>
      <c r="E97" s="57"/>
      <c r="F97" s="57"/>
      <c r="G97" s="57"/>
      <c r="H97" s="224"/>
      <c r="I97" s="224"/>
      <c r="J97" s="224"/>
      <c r="K97" s="57"/>
      <c r="L97" s="57"/>
      <c r="M97" s="57"/>
      <c r="P97" s="227" t="str">
        <f ca="1">Database_cortec!F97</f>
        <v>C</v>
      </c>
      <c r="Q97" s="69"/>
      <c r="R97" s="237"/>
      <c r="S97" s="71"/>
    </row>
    <row r="98" spans="1:19">
      <c r="A98" s="226" t="str">
        <f ca="1">CONCATENATE(Database_cortec!E98,"*")</f>
        <v>Four 1 Gbps LC-type SFP transceivers single mode fiber 1000BASE-LX Ethernet for up to 20 km*</v>
      </c>
      <c r="B98" s="56"/>
      <c r="C98" s="56"/>
      <c r="D98" s="57"/>
      <c r="E98" s="57"/>
      <c r="F98" s="57"/>
      <c r="G98" s="57"/>
      <c r="H98" s="224"/>
      <c r="I98" s="224"/>
      <c r="J98" s="224"/>
      <c r="K98" s="57"/>
      <c r="L98" s="57"/>
      <c r="M98" s="57"/>
      <c r="P98" s="227" t="str">
        <f ca="1">Database_cortec!F98</f>
        <v>D</v>
      </c>
      <c r="Q98" s="69"/>
      <c r="R98" s="237"/>
      <c r="S98" s="71"/>
    </row>
    <row r="99" spans="1:19">
      <c r="A99" s="226" t="str">
        <f ca="1">CONCATENATE(Database_cortec!E99,"*")</f>
        <v>Four 1 Gbps LC-type SFP transceivers single mode fiber 1000BASE-ZX Ethernet for up to 40 km*</v>
      </c>
      <c r="B99" s="56"/>
      <c r="C99" s="56"/>
      <c r="D99" s="57"/>
      <c r="E99" s="57"/>
      <c r="F99" s="57"/>
      <c r="G99" s="57"/>
      <c r="H99" s="224"/>
      <c r="I99" s="224"/>
      <c r="J99" s="224"/>
      <c r="K99" s="57"/>
      <c r="L99" s="57"/>
      <c r="M99" s="57"/>
      <c r="P99" s="227" t="str">
        <f ca="1">Database_cortec!F99</f>
        <v>E</v>
      </c>
      <c r="Q99" s="69"/>
      <c r="R99" s="237"/>
      <c r="S99" s="71"/>
    </row>
    <row r="100" spans="1:19">
      <c r="A100" s="226" t="str">
        <f ca="1">CONCATENATE(Database_cortec!E100,"*")</f>
        <v>Four 1 Gbps LC-type SFP transceivers single mode fiber 1000BASE-ZX Ethernet for up to 80 km*</v>
      </c>
      <c r="B100" s="56"/>
      <c r="C100" s="56"/>
      <c r="D100" s="57"/>
      <c r="E100" s="57"/>
      <c r="F100" s="57"/>
      <c r="G100" s="57"/>
      <c r="H100" s="224"/>
      <c r="I100" s="224"/>
      <c r="J100" s="224"/>
      <c r="K100" s="57"/>
      <c r="L100" s="57"/>
      <c r="M100" s="57"/>
      <c r="P100" s="227" t="str">
        <f ca="1">Database_cortec!F100</f>
        <v>F</v>
      </c>
      <c r="Q100" s="69"/>
      <c r="R100" s="237"/>
      <c r="S100" s="71"/>
    </row>
    <row r="101" spans="1:19">
      <c r="A101" s="226" t="str">
        <f ca="1">CONCATENATE(Database_cortec!E101,"*")</f>
        <v>Four 100 Mbps LC-type SFP transceivers multi mode fiber 100BASE-FX Ethernet for up to 2 km*</v>
      </c>
      <c r="B101" s="56"/>
      <c r="C101" s="56"/>
      <c r="D101" s="57"/>
      <c r="E101" s="57"/>
      <c r="F101" s="57"/>
      <c r="G101" s="57"/>
      <c r="H101" s="224"/>
      <c r="I101" s="224"/>
      <c r="J101" s="224"/>
      <c r="K101" s="57"/>
      <c r="L101" s="57"/>
      <c r="M101" s="57"/>
      <c r="P101" s="227" t="str">
        <f ca="1">Database_cortec!F101</f>
        <v>H</v>
      </c>
      <c r="Q101" s="69"/>
      <c r="R101" s="237"/>
      <c r="S101" s="71"/>
    </row>
    <row r="102" spans="1:19">
      <c r="A102" s="226" t="str">
        <f ca="1">CONCATENATE(Database_cortec!E102,"*")</f>
        <v>Four RJ45 copper 10/100BASE-TX 10/100BASE-TX/1000BASE-T*</v>
      </c>
      <c r="B102" s="56"/>
      <c r="C102" s="56"/>
      <c r="D102" s="57"/>
      <c r="E102" s="57"/>
      <c r="F102" s="57"/>
      <c r="G102" s="57"/>
      <c r="H102" s="224"/>
      <c r="I102" s="224"/>
      <c r="J102" s="224"/>
      <c r="K102" s="57"/>
      <c r="L102" s="57"/>
      <c r="M102" s="57"/>
      <c r="P102" s="227" t="str">
        <f ca="1">Database_cortec!F102</f>
        <v>I</v>
      </c>
      <c r="Q102" s="69"/>
      <c r="R102" s="237"/>
      <c r="S102" s="71"/>
    </row>
    <row r="103" spans="1:19">
      <c r="A103" s="226" t="str">
        <f ca="1">CONCATENATE(Database_cortec!E103,"*")</f>
        <v>Four 1 Gbps RJ45 SFP transceivers Ethernet 10/100BASE-TX/1000BASE-T*</v>
      </c>
      <c r="B103" s="56"/>
      <c r="C103" s="56"/>
      <c r="D103" s="57"/>
      <c r="E103" s="57"/>
      <c r="F103" s="57"/>
      <c r="G103" s="57"/>
      <c r="H103" s="224"/>
      <c r="I103" s="224"/>
      <c r="J103" s="224"/>
      <c r="K103" s="57"/>
      <c r="L103" s="57"/>
      <c r="M103" s="57"/>
      <c r="P103" s="227" t="str">
        <f ca="1">Database_cortec!F103</f>
        <v>J</v>
      </c>
      <c r="Q103" s="69"/>
      <c r="R103" s="237"/>
      <c r="S103" s="71"/>
    </row>
    <row r="104" spans="1:19">
      <c r="A104" s="226" t="str">
        <f ca="1">Database_cortec!E104</f>
        <v>Not installed</v>
      </c>
      <c r="B104" s="56"/>
      <c r="C104" s="56"/>
      <c r="D104" s="57"/>
      <c r="E104" s="57"/>
      <c r="F104" s="57"/>
      <c r="G104" s="57"/>
      <c r="H104" s="224"/>
      <c r="I104" s="224"/>
      <c r="J104" s="224"/>
      <c r="K104" s="57"/>
      <c r="L104" s="57"/>
      <c r="M104" s="57"/>
      <c r="P104" s="227" t="str">
        <f ca="1">Database_cortec!F104</f>
        <v>X</v>
      </c>
      <c r="Q104" s="69"/>
      <c r="R104" s="237"/>
      <c r="S104" s="71"/>
    </row>
    <row r="105" spans="1:19">
      <c r="A105" s="72"/>
      <c r="B105" s="107"/>
      <c r="C105" s="107"/>
      <c r="D105" s="108"/>
      <c r="E105" s="108"/>
      <c r="F105" s="108"/>
      <c r="G105" s="108"/>
      <c r="H105" s="108"/>
      <c r="I105" s="108"/>
      <c r="J105" s="108"/>
      <c r="K105" s="108"/>
      <c r="L105" s="108"/>
      <c r="M105" s="108"/>
      <c r="N105" s="108"/>
      <c r="O105" s="108"/>
      <c r="P105" s="108"/>
      <c r="Q105" s="69"/>
      <c r="R105" s="237"/>
      <c r="S105" s="71"/>
    </row>
    <row r="106" spans="1:19" ht="13">
      <c r="A106" s="77" t="str">
        <f>Database_cortec!B106</f>
        <v>Firmware Version</v>
      </c>
      <c r="B106" s="56"/>
      <c r="C106" s="56"/>
      <c r="D106" s="57"/>
      <c r="E106" s="57"/>
      <c r="F106" s="57"/>
      <c r="G106" s="57"/>
      <c r="H106" s="224"/>
      <c r="I106" s="224"/>
      <c r="J106" s="224"/>
      <c r="K106" s="57"/>
      <c r="L106" s="57"/>
      <c r="M106" s="57"/>
      <c r="Q106" s="69"/>
      <c r="R106" s="237"/>
      <c r="S106" s="71"/>
    </row>
    <row r="107" spans="1:19">
      <c r="A107" s="72" t="str">
        <f ca="1">Database_cortec!E107</f>
        <v>Firmware release number 07</v>
      </c>
      <c r="B107" s="56"/>
      <c r="C107" s="56"/>
      <c r="D107" s="57"/>
      <c r="E107" s="57"/>
      <c r="F107" s="57"/>
      <c r="G107" s="57"/>
      <c r="H107" s="224"/>
      <c r="I107" s="224"/>
      <c r="J107" s="224"/>
      <c r="K107" s="57"/>
      <c r="L107" s="57"/>
      <c r="M107" s="57"/>
      <c r="Q107" s="79" t="str">
        <f ca="1">Database_cortec!F107</f>
        <v>07</v>
      </c>
      <c r="R107" s="237"/>
      <c r="S107" s="71"/>
    </row>
    <row r="108" spans="1:19">
      <c r="A108" s="72"/>
      <c r="B108" s="56"/>
      <c r="C108" s="56"/>
      <c r="D108" s="57"/>
      <c r="E108" s="57"/>
      <c r="F108" s="57"/>
      <c r="G108" s="57"/>
      <c r="H108" s="224"/>
      <c r="I108" s="224"/>
      <c r="J108" s="224"/>
      <c r="K108" s="57"/>
      <c r="L108" s="57"/>
      <c r="M108" s="57"/>
      <c r="Q108" s="57"/>
      <c r="R108" s="237"/>
      <c r="S108" s="71"/>
    </row>
    <row r="109" spans="1:19" s="225" customFormat="1" ht="13">
      <c r="A109" s="77" t="str">
        <f>Database_cortec!B110</f>
        <v>Hardware Design Suffix</v>
      </c>
      <c r="B109" s="61"/>
      <c r="C109" s="61"/>
      <c r="D109" s="78"/>
      <c r="E109" s="67"/>
      <c r="F109" s="67"/>
      <c r="G109" s="67"/>
      <c r="H109" s="67"/>
      <c r="I109" s="67"/>
      <c r="J109" s="67"/>
      <c r="K109" s="67"/>
      <c r="L109" s="67"/>
      <c r="M109" s="117"/>
      <c r="N109" s="118"/>
      <c r="O109" s="118"/>
      <c r="P109" s="118"/>
      <c r="Q109" s="118"/>
      <c r="R109" s="237"/>
      <c r="S109" s="71"/>
    </row>
    <row r="110" spans="1:19" s="225" customFormat="1">
      <c r="A110" s="226" t="str">
        <f ca="1">Database_cortec!E111</f>
        <v>Hardware C version</v>
      </c>
      <c r="B110" s="73"/>
      <c r="C110" s="73"/>
      <c r="D110" s="76"/>
      <c r="E110" s="68"/>
      <c r="F110" s="68"/>
      <c r="G110" s="68"/>
      <c r="H110" s="68"/>
      <c r="I110" s="68"/>
      <c r="J110" s="68"/>
      <c r="K110" s="68"/>
      <c r="L110" s="68"/>
      <c r="M110" s="223"/>
      <c r="N110" s="224"/>
      <c r="O110" s="224"/>
      <c r="P110" s="224"/>
      <c r="R110" s="227" t="str">
        <f ca="1">Database_cortec!F111</f>
        <v>C</v>
      </c>
      <c r="S110" s="71"/>
    </row>
    <row r="111" spans="1:19" s="225" customFormat="1">
      <c r="A111" s="226"/>
      <c r="B111" s="223"/>
      <c r="C111" s="223"/>
      <c r="D111" s="224"/>
      <c r="E111" s="224"/>
      <c r="F111" s="224"/>
      <c r="G111" s="224"/>
      <c r="H111" s="224"/>
      <c r="I111" s="224"/>
      <c r="J111" s="224"/>
      <c r="K111" s="224"/>
      <c r="L111" s="224"/>
      <c r="M111" s="224"/>
      <c r="N111" s="224"/>
      <c r="O111" s="224"/>
      <c r="P111" s="224"/>
      <c r="Q111" s="224"/>
      <c r="R111" s="224"/>
      <c r="S111" s="71"/>
    </row>
    <row r="112" spans="1:19" s="225" customFormat="1" ht="13">
      <c r="A112" s="77" t="str">
        <f>Database_cortec!B114</f>
        <v>UL/CSA Recognized</v>
      </c>
      <c r="B112" s="61"/>
      <c r="C112" s="61"/>
      <c r="D112" s="78"/>
      <c r="E112" s="67"/>
      <c r="F112" s="67"/>
      <c r="G112" s="67"/>
      <c r="H112" s="67"/>
      <c r="I112" s="67"/>
      <c r="J112" s="67"/>
      <c r="K112" s="67"/>
      <c r="L112" s="67"/>
      <c r="M112" s="117"/>
      <c r="N112" s="118"/>
      <c r="O112" s="118"/>
      <c r="P112" s="118"/>
      <c r="Q112" s="118"/>
      <c r="R112" s="118"/>
      <c r="S112" s="71"/>
    </row>
    <row r="113" spans="1:19" s="225" customFormat="1">
      <c r="A113" s="226" t="str">
        <f ca="1">CONCATENATE(Database_cortec!E115,"**")</f>
        <v>Yes**</v>
      </c>
      <c r="B113" s="73"/>
      <c r="C113" s="73"/>
      <c r="D113" s="76"/>
      <c r="E113" s="68"/>
      <c r="F113" s="68"/>
      <c r="G113" s="68"/>
      <c r="H113" s="68"/>
      <c r="I113" s="68"/>
      <c r="J113" s="68"/>
      <c r="K113" s="68"/>
      <c r="L113" s="68"/>
      <c r="M113" s="223"/>
      <c r="N113" s="224"/>
      <c r="O113" s="224"/>
      <c r="P113" s="224"/>
      <c r="S113" s="227">
        <f ca="1">Database_cortec!F115</f>
        <v>1</v>
      </c>
    </row>
    <row r="114" spans="1:19" s="225" customFormat="1">
      <c r="A114" s="226" t="str">
        <f ca="1">Database_cortec!E116</f>
        <v>No</v>
      </c>
      <c r="B114" s="73"/>
      <c r="C114" s="73"/>
      <c r="D114" s="76"/>
      <c r="E114" s="68"/>
      <c r="F114" s="68"/>
      <c r="G114" s="68"/>
      <c r="H114" s="68"/>
      <c r="I114" s="68"/>
      <c r="J114" s="68"/>
      <c r="K114" s="68"/>
      <c r="L114" s="68"/>
      <c r="M114" s="223"/>
      <c r="N114" s="224"/>
      <c r="O114" s="224"/>
      <c r="P114" s="224"/>
      <c r="S114" s="227">
        <f ca="1">Database_cortec!F116</f>
        <v>0</v>
      </c>
    </row>
    <row r="115" spans="1:19" s="225" customFormat="1">
      <c r="A115" s="80"/>
      <c r="B115" s="107"/>
      <c r="C115" s="107"/>
      <c r="D115" s="108"/>
      <c r="E115" s="108"/>
      <c r="F115" s="108"/>
      <c r="G115" s="108"/>
      <c r="H115" s="108"/>
      <c r="I115" s="108"/>
      <c r="J115" s="108"/>
      <c r="K115" s="108"/>
      <c r="L115" s="108"/>
      <c r="M115" s="108"/>
      <c r="N115" s="108"/>
      <c r="O115" s="108"/>
      <c r="P115" s="108"/>
      <c r="Q115" s="108"/>
      <c r="R115" s="108"/>
      <c r="S115" s="300"/>
    </row>
    <row r="116" spans="1:19">
      <c r="A116" s="58" t="str">
        <f>CONCATENATE("* ",HLOOKUP(Language!$C$3,Language!$E$1:$Z532,71,FALSE))</f>
        <v>* Only available in the 24 ports model</v>
      </c>
    </row>
    <row r="117" spans="1:19">
      <c r="A117" s="225" t="str">
        <f>CONCATENATE("** ",HLOOKUP(Language!$C$3,Language!$E$1:$Z534,103,FALSE))</f>
        <v>** UL/CSA recognition available in 125-250 Vdc / 110-240 Vac power supply only</v>
      </c>
    </row>
  </sheetData>
  <sheetProtection algorithmName="SHA-512" hashValue="NqayTPXuxthK8vbxZ+wrnOdvWi96R77mW98nXfic5yceLriDpdGnqd4E8pIX1smsXGIWfJqr2uYtmt9rRmAU0g==" saltValue="mhUC99amV/Ju02gm1PeNag==" spinCount="100000" sheet="1" objects="1" scenarios="1"/>
  <mergeCells count="1">
    <mergeCell ref="B3:C3"/>
  </mergeCells>
  <phoneticPr fontId="35" type="noConversion"/>
  <pageMargins left="0.511811024" right="0.511811024" top="0.78740157499999996" bottom="0.78740157499999996" header="0.31496062000000002" footer="0.31496062000000002"/>
  <pageSetup paperSize="9" orientation="portrait" r:id="rId1"/>
  <ignoredErrors>
    <ignoredError sqref="R4:S4"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dimension ref="A1:X38"/>
  <sheetViews>
    <sheetView showGridLines="0" zoomScale="115" zoomScaleNormal="115" workbookViewId="0">
      <pane ySplit="3" topLeftCell="A4" activePane="bottomLeft" state="frozen"/>
      <selection pane="bottomLeft" activeCell="C36" sqref="C36"/>
    </sheetView>
  </sheetViews>
  <sheetFormatPr defaultColWidth="9.1796875" defaultRowHeight="14"/>
  <cols>
    <col min="1" max="1" width="4.54296875" style="26" customWidth="1"/>
    <col min="2" max="4" width="9.1796875" style="26"/>
    <col min="5" max="5" width="102.81640625" style="26" customWidth="1"/>
    <col min="6" max="6" width="6.453125" style="26" customWidth="1"/>
    <col min="7" max="7" width="4.7265625" style="55" customWidth="1"/>
    <col min="8" max="18" width="3.26953125" style="55" customWidth="1"/>
    <col min="19" max="19" width="4.7265625" style="55" customWidth="1"/>
    <col min="20" max="21" width="3.26953125" style="55" customWidth="1"/>
    <col min="22" max="22" width="15.7265625" style="91" hidden="1" customWidth="1"/>
    <col min="23" max="23" width="4" style="26" hidden="1" customWidth="1"/>
    <col min="24" max="24" width="9.1796875" style="91"/>
    <col min="25" max="16384" width="9.1796875" style="26"/>
  </cols>
  <sheetData>
    <row r="1" spans="1:24" ht="18">
      <c r="A1" s="90" t="str">
        <f ca="1">Database_configurator!E2</f>
        <v>S20 Industrial Managed Ethernet Switch</v>
      </c>
      <c r="B1" s="24"/>
      <c r="C1" s="24"/>
      <c r="D1" s="24"/>
      <c r="E1" s="24"/>
      <c r="F1" s="24"/>
      <c r="G1" s="25"/>
      <c r="H1" s="25"/>
      <c r="I1" s="25"/>
      <c r="J1" s="25"/>
      <c r="K1" s="25"/>
      <c r="L1" s="25"/>
      <c r="M1" s="25"/>
      <c r="N1" s="25"/>
      <c r="O1" s="25"/>
      <c r="P1" s="25"/>
      <c r="Q1" s="25"/>
      <c r="R1" s="25"/>
      <c r="S1" s="25"/>
      <c r="T1" s="25"/>
      <c r="U1" s="25"/>
      <c r="V1" s="138" t="str">
        <f>HLOOKUP(Language!$C$3,Language!$E$1:$Z487,46,FALSE)</f>
        <v>Firmware Version</v>
      </c>
      <c r="W1" s="139"/>
      <c r="X1" s="140"/>
    </row>
    <row r="2" spans="1:24">
      <c r="A2" s="234" t="s">
        <v>62</v>
      </c>
      <c r="B2" s="27"/>
      <c r="C2" s="27"/>
      <c r="D2" s="27"/>
      <c r="E2" s="27"/>
      <c r="F2" s="63" t="s">
        <v>145</v>
      </c>
      <c r="G2" s="65" t="s">
        <v>146</v>
      </c>
      <c r="H2" s="65">
        <v>6</v>
      </c>
      <c r="I2" s="63">
        <v>7</v>
      </c>
      <c r="J2" s="63">
        <v>8</v>
      </c>
      <c r="K2" s="63">
        <v>9</v>
      </c>
      <c r="L2" s="63">
        <v>10</v>
      </c>
      <c r="M2" s="64">
        <v>11</v>
      </c>
      <c r="N2" s="64">
        <v>12</v>
      </c>
      <c r="O2" s="64">
        <v>13</v>
      </c>
      <c r="P2" s="64">
        <v>14</v>
      </c>
      <c r="Q2" s="64">
        <v>15</v>
      </c>
      <c r="R2" s="64">
        <v>16</v>
      </c>
      <c r="S2" s="65" t="s">
        <v>147</v>
      </c>
      <c r="T2" s="65" t="s">
        <v>207</v>
      </c>
      <c r="U2" s="65" t="s">
        <v>241</v>
      </c>
      <c r="V2" s="141">
        <f ca="1">SUM(V3:V504)</f>
        <v>0</v>
      </c>
      <c r="W2" s="28"/>
      <c r="X2" s="93"/>
    </row>
    <row r="3" spans="1:24" s="34" customFormat="1" ht="18" customHeight="1">
      <c r="A3" s="29"/>
      <c r="B3" s="30"/>
      <c r="C3" s="30"/>
      <c r="D3" s="30"/>
      <c r="E3" s="31"/>
      <c r="F3" s="166" t="str">
        <f>Database_configurator!E3</f>
        <v>S20</v>
      </c>
      <c r="G3" s="32">
        <f ca="1">G5</f>
        <v>24</v>
      </c>
      <c r="H3" s="32">
        <f ca="1">G7</f>
        <v>3</v>
      </c>
      <c r="I3" s="32" t="str">
        <f ca="1">G9</f>
        <v>X</v>
      </c>
      <c r="J3" s="32" t="str">
        <f ca="1">G11</f>
        <v>P</v>
      </c>
      <c r="K3" s="32">
        <f ca="1">G13</f>
        <v>2</v>
      </c>
      <c r="L3" s="32" t="str">
        <f ca="1">G15</f>
        <v>P</v>
      </c>
      <c r="M3" s="32" t="str">
        <f ca="1">G17</f>
        <v>A</v>
      </c>
      <c r="N3" s="32" t="str">
        <f ca="1">G19</f>
        <v>B</v>
      </c>
      <c r="O3" s="32" t="str">
        <f ca="1">G21</f>
        <v>B</v>
      </c>
      <c r="P3" s="32" t="str">
        <f ca="1">G23</f>
        <v>B</v>
      </c>
      <c r="Q3" s="111" t="str">
        <f ca="1">G25</f>
        <v>B</v>
      </c>
      <c r="R3" s="105" t="str">
        <f ca="1">G27</f>
        <v>B</v>
      </c>
      <c r="S3" s="105" t="str">
        <f ca="1">G29</f>
        <v>07</v>
      </c>
      <c r="T3" s="105" t="str">
        <f ca="1">G31</f>
        <v>C</v>
      </c>
      <c r="U3" s="273">
        <f ca="1">G33</f>
        <v>1</v>
      </c>
      <c r="V3" s="141">
        <f ca="1">Database_configurator!G2</f>
        <v>0</v>
      </c>
      <c r="W3" s="33"/>
      <c r="X3" s="93"/>
    </row>
    <row r="4" spans="1:24" s="34" customFormat="1" ht="18" customHeight="1">
      <c r="A4" s="35" t="str">
        <f>Database_configurator!B5</f>
        <v>Number of ports</v>
      </c>
      <c r="B4" s="36"/>
      <c r="C4" s="36"/>
      <c r="D4" s="36"/>
      <c r="E4" s="36"/>
      <c r="F4" s="37"/>
      <c r="G4" s="231"/>
      <c r="H4" s="232"/>
      <c r="I4" s="106"/>
      <c r="J4" s="233"/>
      <c r="K4" s="232"/>
      <c r="L4" s="95"/>
      <c r="M4" s="38"/>
      <c r="N4" s="94"/>
      <c r="O4" s="95"/>
      <c r="P4" s="114" t="s">
        <v>62</v>
      </c>
      <c r="Q4" s="94"/>
      <c r="R4" s="106"/>
      <c r="S4" s="38"/>
      <c r="T4" s="96"/>
      <c r="U4" s="272"/>
      <c r="V4" s="141"/>
      <c r="W4" s="28"/>
      <c r="X4" s="93"/>
    </row>
    <row r="5" spans="1:24" s="34" customFormat="1" ht="34" customHeight="1">
      <c r="A5" s="39"/>
      <c r="B5" s="36"/>
      <c r="C5" s="36"/>
      <c r="D5" s="36"/>
      <c r="E5" s="36"/>
      <c r="F5" s="37"/>
      <c r="G5" s="32">
        <f ca="1">Database_configurator!F5</f>
        <v>24</v>
      </c>
      <c r="H5" s="94"/>
      <c r="I5" s="95"/>
      <c r="J5" s="38"/>
      <c r="K5" s="94"/>
      <c r="L5" s="95"/>
      <c r="M5" s="38"/>
      <c r="N5" s="94"/>
      <c r="O5" s="95"/>
      <c r="P5" s="115" t="s">
        <v>62</v>
      </c>
      <c r="Q5" s="94"/>
      <c r="R5" s="95"/>
      <c r="S5" s="38"/>
      <c r="T5" s="96"/>
      <c r="U5" s="272"/>
      <c r="V5" s="141"/>
      <c r="W5" s="28"/>
      <c r="X5" s="92" t="str">
        <f ca="1">IF(Database_configurator!H5="N",HLOOKUP(Language!$C$3,Language!$E$1:$Z487,47,FALSE),"")</f>
        <v/>
      </c>
    </row>
    <row r="6" spans="1:24" ht="18" customHeight="1">
      <c r="A6" s="35" t="str">
        <f>Database_configurator!B9</f>
        <v>Power Supply 1</v>
      </c>
      <c r="B6" s="40"/>
      <c r="C6" s="41"/>
      <c r="D6" s="41"/>
      <c r="E6" s="41"/>
      <c r="F6" s="41"/>
      <c r="G6" s="167"/>
      <c r="H6" s="94"/>
      <c r="I6" s="95"/>
      <c r="J6" s="38"/>
      <c r="K6" s="94"/>
      <c r="L6" s="95"/>
      <c r="M6" s="38"/>
      <c r="N6" s="94"/>
      <c r="O6" s="95"/>
      <c r="P6" s="115" t="s">
        <v>62</v>
      </c>
      <c r="Q6" s="94"/>
      <c r="R6" s="95"/>
      <c r="S6" s="38"/>
      <c r="T6" s="96"/>
      <c r="U6" s="272"/>
      <c r="V6" s="141"/>
      <c r="W6" s="28"/>
      <c r="X6" s="93"/>
    </row>
    <row r="7" spans="1:24" ht="34" customHeight="1">
      <c r="A7" s="43"/>
      <c r="B7" s="41"/>
      <c r="C7" s="41"/>
      <c r="D7" s="44"/>
      <c r="E7" s="41"/>
      <c r="F7" s="41"/>
      <c r="G7" s="32">
        <f ca="1">Database_configurator!F9</f>
        <v>3</v>
      </c>
      <c r="H7" s="97"/>
      <c r="I7" s="95"/>
      <c r="J7" s="38"/>
      <c r="K7" s="94"/>
      <c r="L7" s="95"/>
      <c r="M7" s="38"/>
      <c r="N7" s="94"/>
      <c r="O7" s="95"/>
      <c r="P7" s="115" t="s">
        <v>62</v>
      </c>
      <c r="Q7" s="94"/>
      <c r="R7" s="95"/>
      <c r="S7" s="38"/>
      <c r="T7" s="96"/>
      <c r="U7" s="272"/>
      <c r="V7" s="141"/>
      <c r="W7" s="28"/>
      <c r="X7" s="92" t="str">
        <f ca="1">IF(Database_configurator!H9="N",HLOOKUP(Language!$C$3,Language!$E$1:$Z487,47,FALSE),"")</f>
        <v/>
      </c>
    </row>
    <row r="8" spans="1:24" ht="18" customHeight="1">
      <c r="A8" s="35" t="str">
        <f>Database_configurator!B14</f>
        <v>Power Supply 2</v>
      </c>
      <c r="B8" s="41"/>
      <c r="C8" s="41"/>
      <c r="D8" s="41"/>
      <c r="E8" s="41"/>
      <c r="F8" s="41"/>
      <c r="G8" s="168"/>
      <c r="H8" s="101"/>
      <c r="I8" s="95"/>
      <c r="J8" s="38"/>
      <c r="K8" s="94"/>
      <c r="L8" s="95"/>
      <c r="M8" s="38"/>
      <c r="N8" s="94"/>
      <c r="O8" s="95"/>
      <c r="P8" s="115" t="s">
        <v>62</v>
      </c>
      <c r="Q8" s="94"/>
      <c r="R8" s="95"/>
      <c r="S8" s="38"/>
      <c r="T8" s="96"/>
      <c r="U8" s="272"/>
      <c r="V8" s="141"/>
      <c r="W8" s="28"/>
      <c r="X8" s="93"/>
    </row>
    <row r="9" spans="1:24" ht="33.75" customHeight="1">
      <c r="A9" s="43"/>
      <c r="B9" s="41"/>
      <c r="C9" s="41"/>
      <c r="D9" s="41"/>
      <c r="E9" s="41"/>
      <c r="F9" s="41"/>
      <c r="G9" s="32" t="str">
        <f ca="1">Database_configurator!F14</f>
        <v>X</v>
      </c>
      <c r="H9" s="102"/>
      <c r="I9" s="100"/>
      <c r="J9" s="38"/>
      <c r="K9" s="94"/>
      <c r="L9" s="95"/>
      <c r="M9" s="38"/>
      <c r="N9" s="94"/>
      <c r="O9" s="95"/>
      <c r="P9" s="115" t="s">
        <v>62</v>
      </c>
      <c r="Q9" s="94"/>
      <c r="R9" s="95"/>
      <c r="S9" s="38"/>
      <c r="T9" s="96"/>
      <c r="U9" s="272"/>
      <c r="V9" s="141"/>
      <c r="W9" s="28"/>
      <c r="X9" s="92" t="str">
        <f ca="1">IF(Database_configurator!H14="N",HLOOKUP(Language!$C$3,Language!$E$1:$Z487,47,FALSE),"")</f>
        <v/>
      </c>
    </row>
    <row r="10" spans="1:24" ht="18" customHeight="1">
      <c r="A10" s="35" t="str">
        <f>Database_configurator!B20</f>
        <v>Mounting Options</v>
      </c>
      <c r="B10" s="41"/>
      <c r="C10" s="41"/>
      <c r="D10" s="41"/>
      <c r="E10" s="41"/>
      <c r="F10" s="41"/>
      <c r="G10" s="169"/>
      <c r="H10" s="42"/>
      <c r="I10" s="42"/>
      <c r="J10" s="38"/>
      <c r="K10" s="94"/>
      <c r="L10" s="95"/>
      <c r="M10" s="38"/>
      <c r="N10" s="94"/>
      <c r="O10" s="95"/>
      <c r="P10" s="115"/>
      <c r="Q10" s="94"/>
      <c r="R10" s="95"/>
      <c r="S10" s="38"/>
      <c r="T10" s="96"/>
      <c r="U10" s="272"/>
      <c r="V10" s="141"/>
      <c r="W10" s="28"/>
      <c r="X10" s="92"/>
    </row>
    <row r="11" spans="1:24" ht="33.75" customHeight="1">
      <c r="A11" s="43"/>
      <c r="B11" s="41"/>
      <c r="C11" s="41"/>
      <c r="D11" s="41"/>
      <c r="E11" s="41"/>
      <c r="F11" s="41"/>
      <c r="G11" s="32" t="str">
        <f ca="1">Database_configurator!F20</f>
        <v>P</v>
      </c>
      <c r="H11" s="103"/>
      <c r="I11" s="103"/>
      <c r="J11" s="99"/>
      <c r="K11" s="94"/>
      <c r="L11" s="95"/>
      <c r="M11" s="38"/>
      <c r="N11" s="94"/>
      <c r="O11" s="95"/>
      <c r="P11" s="115"/>
      <c r="Q11" s="94"/>
      <c r="R11" s="95"/>
      <c r="S11" s="38"/>
      <c r="T11" s="96"/>
      <c r="U11" s="272"/>
      <c r="V11" s="141"/>
      <c r="W11" s="28"/>
      <c r="X11" s="92"/>
    </row>
    <row r="12" spans="1:24" ht="24" customHeight="1">
      <c r="A12" s="35" t="str">
        <f>Database_configurator!B23</f>
        <v>Software Functionality (Licensing)</v>
      </c>
      <c r="B12" s="41"/>
      <c r="C12" s="41"/>
      <c r="D12" s="41"/>
      <c r="E12" s="41"/>
      <c r="F12" s="41"/>
      <c r="G12" s="170"/>
      <c r="H12" s="96"/>
      <c r="I12" s="96"/>
      <c r="J12" s="96"/>
      <c r="K12" s="94"/>
      <c r="L12" s="95"/>
      <c r="M12" s="38"/>
      <c r="N12" s="94"/>
      <c r="O12" s="95"/>
      <c r="P12" s="115"/>
      <c r="Q12" s="94"/>
      <c r="R12" s="95"/>
      <c r="S12" s="38"/>
      <c r="T12" s="96"/>
      <c r="U12" s="272"/>
      <c r="V12" s="141"/>
      <c r="W12" s="28"/>
      <c r="X12" s="92"/>
    </row>
    <row r="13" spans="1:24" ht="34" customHeight="1">
      <c r="A13" s="43"/>
      <c r="B13" s="41"/>
      <c r="C13" s="41"/>
      <c r="D13" s="41"/>
      <c r="E13" s="41"/>
      <c r="F13" s="41"/>
      <c r="G13" s="32">
        <f ca="1">Database_configurator!F23</f>
        <v>2</v>
      </c>
      <c r="H13" s="98"/>
      <c r="I13" s="98"/>
      <c r="J13" s="98"/>
      <c r="K13" s="97"/>
      <c r="L13" s="95"/>
      <c r="M13" s="38"/>
      <c r="N13" s="94"/>
      <c r="O13" s="95"/>
      <c r="P13" s="115"/>
      <c r="Q13" s="94"/>
      <c r="R13" s="95"/>
      <c r="S13" s="38"/>
      <c r="T13" s="96"/>
      <c r="U13" s="272"/>
      <c r="V13" s="141"/>
      <c r="W13" s="28"/>
      <c r="X13" s="92"/>
    </row>
    <row r="14" spans="1:24" ht="24" customHeight="1">
      <c r="A14" s="35" t="str">
        <f>Database_configurator!B27</f>
        <v>PTP Support (Licensing)</v>
      </c>
      <c r="B14" s="41"/>
      <c r="C14" s="41"/>
      <c r="D14" s="41"/>
      <c r="E14" s="41"/>
      <c r="F14" s="41"/>
      <c r="G14" s="244"/>
      <c r="H14" s="101"/>
      <c r="I14" s="101"/>
      <c r="J14" s="101"/>
      <c r="K14" s="101"/>
      <c r="L14" s="95"/>
      <c r="M14" s="38"/>
      <c r="N14" s="94"/>
      <c r="O14" s="95"/>
      <c r="P14" s="115"/>
      <c r="Q14" s="94"/>
      <c r="R14" s="95"/>
      <c r="S14" s="38"/>
      <c r="T14" s="96"/>
      <c r="U14" s="272"/>
      <c r="V14" s="141"/>
      <c r="W14" s="28"/>
      <c r="X14" s="92"/>
    </row>
    <row r="15" spans="1:24" ht="34" customHeight="1">
      <c r="A15" s="43"/>
      <c r="B15" s="41"/>
      <c r="C15" s="41"/>
      <c r="D15" s="41"/>
      <c r="E15" s="41"/>
      <c r="F15" s="41"/>
      <c r="G15" s="32" t="str">
        <f ca="1">Database_configurator!F27</f>
        <v>P</v>
      </c>
      <c r="H15" s="104"/>
      <c r="I15" s="104"/>
      <c r="J15" s="104"/>
      <c r="K15" s="104"/>
      <c r="L15" s="100"/>
      <c r="M15" s="38"/>
      <c r="N15" s="94"/>
      <c r="O15" s="95"/>
      <c r="P15" s="115"/>
      <c r="Q15" s="94"/>
      <c r="R15" s="95"/>
      <c r="S15" s="38"/>
      <c r="T15" s="96"/>
      <c r="U15" s="272"/>
      <c r="V15" s="141"/>
      <c r="W15" s="28"/>
      <c r="X15" s="92"/>
    </row>
    <row r="16" spans="1:24" ht="18" customHeight="1">
      <c r="A16" s="45" t="str">
        <f>Database_configurator!B31</f>
        <v>Interface Module 1</v>
      </c>
      <c r="B16" s="46"/>
      <c r="C16" s="41"/>
      <c r="D16" s="41"/>
      <c r="E16" s="41"/>
      <c r="F16" s="41"/>
      <c r="G16" s="169"/>
      <c r="H16" s="42"/>
      <c r="I16" s="42"/>
      <c r="J16" s="42"/>
      <c r="K16" s="42"/>
      <c r="L16" s="42"/>
      <c r="M16" s="38"/>
      <c r="N16" s="94"/>
      <c r="O16" s="95"/>
      <c r="P16" s="115" t="s">
        <v>62</v>
      </c>
      <c r="Q16" s="94"/>
      <c r="R16" s="95"/>
      <c r="S16" s="38"/>
      <c r="T16" s="96"/>
      <c r="U16" s="272"/>
      <c r="V16" s="141"/>
      <c r="W16" s="28"/>
      <c r="X16" s="93"/>
    </row>
    <row r="17" spans="1:24" ht="126.75" customHeight="1">
      <c r="A17" s="43"/>
      <c r="B17" s="47"/>
      <c r="C17" s="48"/>
      <c r="D17" s="48"/>
      <c r="E17" s="48"/>
      <c r="F17" s="48"/>
      <c r="G17" s="32" t="str">
        <f ca="1">Database_configurator!F31</f>
        <v>A</v>
      </c>
      <c r="H17" s="103"/>
      <c r="I17" s="103"/>
      <c r="J17" s="103"/>
      <c r="K17" s="103"/>
      <c r="L17" s="103"/>
      <c r="M17" s="99"/>
      <c r="N17" s="94"/>
      <c r="O17" s="95"/>
      <c r="P17" s="115" t="s">
        <v>62</v>
      </c>
      <c r="Q17" s="94"/>
      <c r="R17" s="95"/>
      <c r="S17" s="38"/>
      <c r="T17" s="96"/>
      <c r="U17" s="272"/>
      <c r="V17" s="141"/>
      <c r="W17" s="28"/>
      <c r="X17" s="92" t="str">
        <f ca="1">IF(Database_configurator!H31="N",HLOOKUP(Language!$C$3,Language!$E$1:$Z487,47,FALSE),"")</f>
        <v/>
      </c>
    </row>
    <row r="18" spans="1:24" ht="18" customHeight="1">
      <c r="A18" s="35" t="str">
        <f>Database_configurator!B46</f>
        <v>Interface Module 2</v>
      </c>
      <c r="B18" s="47"/>
      <c r="C18" s="49"/>
      <c r="D18" s="49"/>
      <c r="E18" s="49"/>
      <c r="F18" s="50"/>
      <c r="G18" s="170"/>
      <c r="H18" s="96"/>
      <c r="I18" s="96"/>
      <c r="J18" s="96"/>
      <c r="K18" s="96"/>
      <c r="L18" s="96"/>
      <c r="M18" s="96"/>
      <c r="N18" s="94"/>
      <c r="O18" s="95"/>
      <c r="P18" s="115" t="s">
        <v>62</v>
      </c>
      <c r="Q18" s="94"/>
      <c r="R18" s="95"/>
      <c r="S18" s="38"/>
      <c r="T18" s="96"/>
      <c r="U18" s="272"/>
      <c r="V18" s="141"/>
      <c r="W18" s="28"/>
      <c r="X18" s="93"/>
    </row>
    <row r="19" spans="1:24" ht="108" customHeight="1">
      <c r="A19" s="43"/>
      <c r="B19" s="51"/>
      <c r="C19" s="50"/>
      <c r="D19" s="50"/>
      <c r="E19" s="50"/>
      <c r="F19" s="50"/>
      <c r="G19" s="32" t="str">
        <f ca="1">Database_configurator!F46</f>
        <v>B</v>
      </c>
      <c r="H19" s="98"/>
      <c r="I19" s="98"/>
      <c r="J19" s="98"/>
      <c r="K19" s="98"/>
      <c r="L19" s="98"/>
      <c r="M19" s="98"/>
      <c r="N19" s="97"/>
      <c r="O19" s="95"/>
      <c r="P19" s="115" t="s">
        <v>62</v>
      </c>
      <c r="Q19" s="94"/>
      <c r="R19" s="95"/>
      <c r="S19" s="38"/>
      <c r="T19" s="96"/>
      <c r="U19" s="272"/>
      <c r="V19" s="141"/>
      <c r="W19" s="28"/>
      <c r="X19" s="92" t="str">
        <f ca="1">IF(Database_configurator!H46="N",HLOOKUP(Language!$C$3,Language!$E$1:$Z487,47,FALSE),"")</f>
        <v/>
      </c>
    </row>
    <row r="20" spans="1:24" ht="18" customHeight="1">
      <c r="A20" s="35" t="str">
        <f>Database_configurator!B58</f>
        <v>Interface Module 3</v>
      </c>
      <c r="B20" s="47"/>
      <c r="C20" s="52"/>
      <c r="D20" s="49"/>
      <c r="E20" s="49"/>
      <c r="F20" s="50"/>
      <c r="G20" s="168"/>
      <c r="H20" s="101"/>
      <c r="I20" s="101"/>
      <c r="J20" s="101"/>
      <c r="K20" s="101"/>
      <c r="L20" s="101"/>
      <c r="M20" s="101"/>
      <c r="N20" s="101"/>
      <c r="O20" s="95"/>
      <c r="P20" s="115" t="s">
        <v>62</v>
      </c>
      <c r="Q20" s="94"/>
      <c r="R20" s="95"/>
      <c r="S20" s="38"/>
      <c r="T20" s="96"/>
      <c r="U20" s="272"/>
      <c r="V20" s="141"/>
      <c r="W20" s="28"/>
      <c r="X20" s="93"/>
    </row>
    <row r="21" spans="1:24" ht="107.25" customHeight="1">
      <c r="A21" s="43"/>
      <c r="B21" s="51"/>
      <c r="C21" s="53"/>
      <c r="D21" s="50"/>
      <c r="E21" s="50"/>
      <c r="F21" s="50"/>
      <c r="G21" s="32" t="str">
        <f ca="1">Database_configurator!F58</f>
        <v>B</v>
      </c>
      <c r="H21" s="102"/>
      <c r="I21" s="104"/>
      <c r="J21" s="104"/>
      <c r="K21" s="104"/>
      <c r="L21" s="104"/>
      <c r="M21" s="104"/>
      <c r="N21" s="104"/>
      <c r="O21" s="100"/>
      <c r="P21" s="115" t="s">
        <v>62</v>
      </c>
      <c r="Q21" s="94"/>
      <c r="R21" s="95"/>
      <c r="S21" s="38"/>
      <c r="T21" s="96"/>
      <c r="U21" s="272"/>
      <c r="V21" s="141"/>
      <c r="W21" s="28"/>
      <c r="X21" s="92" t="str">
        <f ca="1">IF(Database_configurator!H58="N",HLOOKUP(Language!$C$3,Language!$E$1:$Z487,47,FALSE),"")</f>
        <v/>
      </c>
    </row>
    <row r="22" spans="1:24" ht="18" customHeight="1">
      <c r="A22" s="35" t="str">
        <f>Database_configurator!B70</f>
        <v>Interface Module 4</v>
      </c>
      <c r="B22" s="47"/>
      <c r="C22" s="52"/>
      <c r="D22" s="49"/>
      <c r="E22" s="49"/>
      <c r="F22" s="50"/>
      <c r="G22" s="171" t="s">
        <v>62</v>
      </c>
      <c r="H22" s="113" t="s">
        <v>62</v>
      </c>
      <c r="I22" s="113" t="s">
        <v>62</v>
      </c>
      <c r="J22" s="113"/>
      <c r="K22" s="113"/>
      <c r="L22" s="113"/>
      <c r="M22" s="113" t="s">
        <v>62</v>
      </c>
      <c r="N22" s="113" t="s">
        <v>62</v>
      </c>
      <c r="O22" s="113" t="s">
        <v>62</v>
      </c>
      <c r="P22" s="115" t="s">
        <v>62</v>
      </c>
      <c r="Q22" s="94"/>
      <c r="R22" s="95"/>
      <c r="S22" s="38"/>
      <c r="T22" s="96"/>
      <c r="U22" s="272"/>
      <c r="V22" s="141"/>
      <c r="W22" s="28"/>
      <c r="X22" s="93"/>
    </row>
    <row r="23" spans="1:24" ht="105.75" customHeight="1">
      <c r="A23" s="43"/>
      <c r="B23" s="51"/>
      <c r="C23" s="53"/>
      <c r="D23" s="50"/>
      <c r="E23" s="50"/>
      <c r="F23" s="50"/>
      <c r="G23" s="32" t="str">
        <f ca="1">Database_configurator!F70</f>
        <v>B</v>
      </c>
      <c r="H23" s="112" t="s">
        <v>62</v>
      </c>
      <c r="I23" s="112" t="s">
        <v>62</v>
      </c>
      <c r="J23" s="112"/>
      <c r="K23" s="112"/>
      <c r="L23" s="112"/>
      <c r="M23" s="112" t="s">
        <v>62</v>
      </c>
      <c r="N23" s="112" t="s">
        <v>62</v>
      </c>
      <c r="O23" s="112" t="s">
        <v>62</v>
      </c>
      <c r="P23" s="116" t="s">
        <v>62</v>
      </c>
      <c r="Q23" s="94"/>
      <c r="R23" s="95"/>
      <c r="S23" s="38"/>
      <c r="T23" s="96"/>
      <c r="U23" s="272"/>
      <c r="V23" s="141"/>
      <c r="W23" s="28"/>
      <c r="X23" s="92" t="str">
        <f ca="1">IF(Database_configurator!H70="N",HLOOKUP(Language!$C$3,Language!$E$1:$Z487,47,FALSE),"")</f>
        <v/>
      </c>
    </row>
    <row r="24" spans="1:24" ht="18" customHeight="1">
      <c r="A24" s="35" t="str">
        <f>Database_configurator!B82</f>
        <v>Interface Module 5</v>
      </c>
      <c r="B24" s="47"/>
      <c r="C24" s="52"/>
      <c r="D24" s="49"/>
      <c r="E24" s="49"/>
      <c r="F24" s="50"/>
      <c r="G24" s="172"/>
      <c r="H24" s="96"/>
      <c r="I24" s="96"/>
      <c r="J24" s="96"/>
      <c r="K24" s="96"/>
      <c r="L24" s="96"/>
      <c r="M24" s="96"/>
      <c r="N24" s="96"/>
      <c r="O24" s="96"/>
      <c r="P24" s="96"/>
      <c r="Q24" s="94"/>
      <c r="R24" s="95"/>
      <c r="S24" s="38"/>
      <c r="T24" s="96"/>
      <c r="U24" s="272"/>
      <c r="V24" s="141"/>
      <c r="W24" s="28"/>
      <c r="X24" s="93"/>
    </row>
    <row r="25" spans="1:24" ht="108.75" customHeight="1">
      <c r="A25" s="43"/>
      <c r="B25" s="51"/>
      <c r="C25" s="53"/>
      <c r="D25" s="50"/>
      <c r="E25" s="50"/>
      <c r="F25" s="50"/>
      <c r="G25" s="32" t="str">
        <f ca="1">Database_configurator!F82</f>
        <v>B</v>
      </c>
      <c r="H25" s="98"/>
      <c r="I25" s="98"/>
      <c r="J25" s="98"/>
      <c r="K25" s="98"/>
      <c r="L25" s="98"/>
      <c r="M25" s="98"/>
      <c r="N25" s="98"/>
      <c r="O25" s="98"/>
      <c r="P25" s="98"/>
      <c r="Q25" s="97"/>
      <c r="R25" s="95"/>
      <c r="S25" s="38"/>
      <c r="T25" s="96"/>
      <c r="U25" s="272"/>
      <c r="V25" s="141"/>
      <c r="W25" s="28"/>
      <c r="X25" s="92" t="str">
        <f ca="1">IF(Database_configurator!H82="N",HLOOKUP(Language!$C$3,Language!$E$1:$Z487,47,FALSE),"")</f>
        <v/>
      </c>
    </row>
    <row r="26" spans="1:24" ht="18" customHeight="1">
      <c r="A26" s="54" t="str">
        <f>Database_configurator!B94</f>
        <v>Interface Module 6</v>
      </c>
      <c r="B26" s="51"/>
      <c r="C26" s="53"/>
      <c r="D26" s="50"/>
      <c r="E26" s="50"/>
      <c r="F26" s="50"/>
      <c r="G26" s="168"/>
      <c r="H26" s="101"/>
      <c r="I26" s="101"/>
      <c r="J26" s="101"/>
      <c r="K26" s="101"/>
      <c r="L26" s="101"/>
      <c r="M26" s="101"/>
      <c r="N26" s="101"/>
      <c r="O26" s="101"/>
      <c r="P26" s="101"/>
      <c r="Q26" s="101"/>
      <c r="R26" s="95"/>
      <c r="S26" s="38"/>
      <c r="T26" s="96"/>
      <c r="U26" s="272"/>
      <c r="V26" s="141"/>
      <c r="W26" s="28"/>
      <c r="X26" s="93"/>
    </row>
    <row r="27" spans="1:24" ht="107.25" customHeight="1">
      <c r="A27" s="35"/>
      <c r="B27" s="51"/>
      <c r="C27" s="53"/>
      <c r="D27" s="50"/>
      <c r="E27" s="50"/>
      <c r="F27" s="50"/>
      <c r="G27" s="32" t="str">
        <f ca="1">Database_configurator!F94</f>
        <v>B</v>
      </c>
      <c r="H27" s="104"/>
      <c r="I27" s="104"/>
      <c r="J27" s="104"/>
      <c r="K27" s="104"/>
      <c r="L27" s="104"/>
      <c r="M27" s="104"/>
      <c r="N27" s="104"/>
      <c r="O27" s="104"/>
      <c r="P27" s="104"/>
      <c r="Q27" s="104"/>
      <c r="R27" s="100"/>
      <c r="S27" s="38"/>
      <c r="T27" s="96"/>
      <c r="U27" s="272"/>
      <c r="V27" s="141"/>
      <c r="W27" s="28"/>
      <c r="X27" s="92" t="str">
        <f ca="1">IF(Database_configurator!H94="N",HLOOKUP(Language!$C$3,Language!$E$1:$Z487,47,FALSE),"")</f>
        <v/>
      </c>
    </row>
    <row r="28" spans="1:24" ht="18" customHeight="1">
      <c r="A28" s="54" t="str">
        <f>Database_configurator!B106</f>
        <v>Firmware Version</v>
      </c>
      <c r="B28" s="51"/>
      <c r="C28" s="53"/>
      <c r="D28" s="50"/>
      <c r="E28" s="50"/>
      <c r="F28" s="50"/>
      <c r="G28" s="169"/>
      <c r="H28" s="42"/>
      <c r="I28" s="42"/>
      <c r="J28" s="42"/>
      <c r="K28" s="42"/>
      <c r="L28" s="42"/>
      <c r="M28" s="42"/>
      <c r="N28" s="42"/>
      <c r="O28" s="42"/>
      <c r="P28" s="42"/>
      <c r="Q28" s="42"/>
      <c r="R28" s="42"/>
      <c r="S28" s="38"/>
      <c r="T28" s="96"/>
      <c r="U28" s="272"/>
      <c r="V28" s="141"/>
      <c r="W28" s="28"/>
      <c r="X28" s="93"/>
    </row>
    <row r="29" spans="1:24" ht="34" customHeight="1">
      <c r="A29" s="35"/>
      <c r="B29" s="51"/>
      <c r="C29" s="53"/>
      <c r="D29" s="50"/>
      <c r="E29" s="50"/>
      <c r="F29" s="50"/>
      <c r="G29" s="32" t="str">
        <f ca="1">Database_configurator!F106</f>
        <v>07</v>
      </c>
      <c r="H29" s="103"/>
      <c r="I29" s="103"/>
      <c r="J29" s="103"/>
      <c r="K29" s="103"/>
      <c r="L29" s="103"/>
      <c r="M29" s="103"/>
      <c r="N29" s="103"/>
      <c r="O29" s="103"/>
      <c r="P29" s="103"/>
      <c r="Q29" s="103"/>
      <c r="R29" s="103"/>
      <c r="S29" s="99"/>
      <c r="T29" s="96"/>
      <c r="U29" s="272"/>
      <c r="V29" s="141"/>
      <c r="W29" s="28"/>
      <c r="X29" s="92" t="str">
        <f ca="1">IF(Database_configurator!H106="N",HLOOKUP(Language!$C$3,Language!$E$1:$Z487,47,FALSE),"")</f>
        <v/>
      </c>
    </row>
    <row r="30" spans="1:24" ht="18" customHeight="1">
      <c r="A30" s="54" t="str">
        <f>Database_configurator!B110</f>
        <v>Hardware Design Suffix</v>
      </c>
      <c r="B30" s="51"/>
      <c r="C30" s="53"/>
      <c r="D30" s="50"/>
      <c r="E30" s="50"/>
      <c r="F30" s="50"/>
      <c r="G30" s="170"/>
      <c r="H30" s="96"/>
      <c r="I30" s="96"/>
      <c r="J30" s="96"/>
      <c r="K30" s="96"/>
      <c r="L30" s="96"/>
      <c r="M30" s="96"/>
      <c r="N30" s="96"/>
      <c r="O30" s="96"/>
      <c r="P30" s="96"/>
      <c r="Q30" s="96"/>
      <c r="R30" s="96"/>
      <c r="S30" s="96"/>
      <c r="T30" s="96"/>
      <c r="U30" s="272"/>
      <c r="V30" s="141"/>
      <c r="W30" s="28"/>
      <c r="X30" s="92"/>
    </row>
    <row r="31" spans="1:24" ht="34" customHeight="1">
      <c r="A31" s="35"/>
      <c r="B31" s="51"/>
      <c r="C31" s="53"/>
      <c r="D31" s="50"/>
      <c r="E31" s="50"/>
      <c r="F31" s="50"/>
      <c r="G31" s="32" t="str">
        <f ca="1">Database_configurator!F110</f>
        <v>C</v>
      </c>
      <c r="H31" s="98"/>
      <c r="I31" s="98"/>
      <c r="J31" s="98"/>
      <c r="K31" s="98"/>
      <c r="L31" s="98"/>
      <c r="M31" s="98"/>
      <c r="N31" s="98"/>
      <c r="O31" s="98"/>
      <c r="P31" s="98"/>
      <c r="Q31" s="98"/>
      <c r="R31" s="98"/>
      <c r="S31" s="98"/>
      <c r="T31" s="98"/>
      <c r="U31" s="272"/>
      <c r="V31" s="141"/>
      <c r="W31" s="28"/>
      <c r="X31" s="92" t="str">
        <f ca="1">IF(Database_configurator!H110="N",HLOOKUP(Language!$C$3,Language!$E$1:$Z489,47,FALSE),"")</f>
        <v/>
      </c>
    </row>
    <row r="32" spans="1:24" ht="18" customHeight="1">
      <c r="A32" s="54" t="str">
        <f>Database_configurator!B114</f>
        <v>UL/CSA Recognized</v>
      </c>
      <c r="B32" s="51"/>
      <c r="C32" s="53"/>
      <c r="D32" s="50"/>
      <c r="E32" s="50"/>
      <c r="F32" s="50"/>
      <c r="G32" s="168"/>
      <c r="H32" s="101"/>
      <c r="I32" s="101"/>
      <c r="J32" s="101"/>
      <c r="K32" s="101"/>
      <c r="L32" s="101"/>
      <c r="M32" s="101"/>
      <c r="N32" s="101"/>
      <c r="O32" s="101"/>
      <c r="P32" s="101"/>
      <c r="Q32" s="101"/>
      <c r="R32" s="101"/>
      <c r="S32" s="101"/>
      <c r="T32" s="101"/>
      <c r="U32" s="95"/>
      <c r="V32" s="141"/>
      <c r="W32" s="28"/>
      <c r="X32" s="92"/>
    </row>
    <row r="33" spans="1:24" ht="34" customHeight="1">
      <c r="A33" s="35"/>
      <c r="B33" s="51"/>
      <c r="C33" s="53"/>
      <c r="D33" s="50"/>
      <c r="E33" s="50"/>
      <c r="F33" s="50"/>
      <c r="G33" s="32">
        <f ca="1">Database_configurator!F114</f>
        <v>1</v>
      </c>
      <c r="H33" s="104"/>
      <c r="I33" s="104"/>
      <c r="J33" s="104"/>
      <c r="K33" s="104"/>
      <c r="L33" s="104"/>
      <c r="M33" s="104"/>
      <c r="N33" s="104"/>
      <c r="O33" s="104"/>
      <c r="P33" s="104"/>
      <c r="Q33" s="104"/>
      <c r="R33" s="104"/>
      <c r="S33" s="104"/>
      <c r="T33" s="104"/>
      <c r="U33" s="100"/>
      <c r="V33" s="141"/>
      <c r="W33" s="28"/>
      <c r="X33" s="92"/>
    </row>
    <row r="34" spans="1:24">
      <c r="V34" s="93"/>
      <c r="X34" s="93"/>
    </row>
    <row r="35" spans="1:24">
      <c r="V35" s="93"/>
      <c r="X35" s="93"/>
    </row>
    <row r="36" spans="1:24">
      <c r="V36" s="93"/>
      <c r="X36" s="93"/>
    </row>
    <row r="37" spans="1:24">
      <c r="V37" s="93"/>
      <c r="X37" s="93"/>
    </row>
    <row r="38" spans="1:24">
      <c r="X38" s="93"/>
    </row>
  </sheetData>
  <sheetProtection algorithmName="SHA-512" hashValue="WEnqkBo6FsjqHVyEeuJxChIggbvXYfldaGUtZ0CaRAmIyoFX5FBO/MOEdCzMch0Q0fitoz/ZKOSaTFZJcgS3PQ==" saltValue="QuJwXyiSr9X8BP19+1iACg==" spinCount="100000" sheet="1" objects="1" scenarios="1"/>
  <phoneticPr fontId="35" type="noConversion"/>
  <pageMargins left="0.511811024" right="0.511811024" top="0.78740157499999996" bottom="0.78740157499999996" header="0.31496062000000002" footer="0.31496062000000002"/>
  <pageSetup paperSize="9" orientation="portrait" r:id="rId1"/>
  <ignoredErrors>
    <ignoredError sqref="T2 U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List Box 1">
              <controlPr defaultSize="0" autoLine="0" autoPict="0">
                <anchor moveWithCells="1">
                  <from>
                    <xdr:col>0</xdr:col>
                    <xdr:colOff>0</xdr:colOff>
                    <xdr:row>6</xdr:row>
                    <xdr:rowOff>0</xdr:rowOff>
                  </from>
                  <to>
                    <xdr:col>6</xdr:col>
                    <xdr:colOff>0</xdr:colOff>
                    <xdr:row>7</xdr:row>
                    <xdr:rowOff>0</xdr:rowOff>
                  </to>
                </anchor>
              </controlPr>
            </control>
          </mc:Choice>
        </mc:AlternateContent>
        <mc:AlternateContent xmlns:mc="http://schemas.openxmlformats.org/markup-compatibility/2006">
          <mc:Choice Requires="x14">
            <control shapeId="4098" r:id="rId5" name="List Box 2">
              <controlPr defaultSize="0" autoLine="0" autoPict="0">
                <anchor moveWithCells="1">
                  <from>
                    <xdr:col>0</xdr:col>
                    <xdr:colOff>0</xdr:colOff>
                    <xdr:row>8</xdr:row>
                    <xdr:rowOff>0</xdr:rowOff>
                  </from>
                  <to>
                    <xdr:col>6</xdr:col>
                    <xdr:colOff>0</xdr:colOff>
                    <xdr:row>9</xdr:row>
                    <xdr:rowOff>0</xdr:rowOff>
                  </to>
                </anchor>
              </controlPr>
            </control>
          </mc:Choice>
        </mc:AlternateContent>
        <mc:AlternateContent xmlns:mc="http://schemas.openxmlformats.org/markup-compatibility/2006">
          <mc:Choice Requires="x14">
            <control shapeId="4099" r:id="rId6" name="List Box 3">
              <controlPr defaultSize="0" autoLine="0" autoPict="0">
                <anchor moveWithCells="1">
                  <from>
                    <xdr:col>0</xdr:col>
                    <xdr:colOff>0</xdr:colOff>
                    <xdr:row>4</xdr:row>
                    <xdr:rowOff>0</xdr:rowOff>
                  </from>
                  <to>
                    <xdr:col>6</xdr:col>
                    <xdr:colOff>0</xdr:colOff>
                    <xdr:row>5</xdr:row>
                    <xdr:rowOff>0</xdr:rowOff>
                  </to>
                </anchor>
              </controlPr>
            </control>
          </mc:Choice>
        </mc:AlternateContent>
        <mc:AlternateContent xmlns:mc="http://schemas.openxmlformats.org/markup-compatibility/2006">
          <mc:Choice Requires="x14">
            <control shapeId="4100" r:id="rId7" name="List Box 4">
              <controlPr defaultSize="0" autoLine="0" autoPict="0">
                <anchor moveWithCells="1">
                  <from>
                    <xdr:col>0</xdr:col>
                    <xdr:colOff>0</xdr:colOff>
                    <xdr:row>15</xdr:row>
                    <xdr:rowOff>228600</xdr:rowOff>
                  </from>
                  <to>
                    <xdr:col>6</xdr:col>
                    <xdr:colOff>0</xdr:colOff>
                    <xdr:row>17</xdr:row>
                    <xdr:rowOff>0</xdr:rowOff>
                  </to>
                </anchor>
              </controlPr>
            </control>
          </mc:Choice>
        </mc:AlternateContent>
        <mc:AlternateContent xmlns:mc="http://schemas.openxmlformats.org/markup-compatibility/2006">
          <mc:Choice Requires="x14">
            <control shapeId="4101" r:id="rId8" name="List Box 5">
              <controlPr defaultSize="0" autoLine="0" autoPict="0">
                <anchor moveWithCells="1">
                  <from>
                    <xdr:col>0</xdr:col>
                    <xdr:colOff>12700</xdr:colOff>
                    <xdr:row>18</xdr:row>
                    <xdr:rowOff>0</xdr:rowOff>
                  </from>
                  <to>
                    <xdr:col>6</xdr:col>
                    <xdr:colOff>0</xdr:colOff>
                    <xdr:row>19</xdr:row>
                    <xdr:rowOff>0</xdr:rowOff>
                  </to>
                </anchor>
              </controlPr>
            </control>
          </mc:Choice>
        </mc:AlternateContent>
        <mc:AlternateContent xmlns:mc="http://schemas.openxmlformats.org/markup-compatibility/2006">
          <mc:Choice Requires="x14">
            <control shapeId="4102" r:id="rId9" name="List Box 6">
              <controlPr defaultSize="0" autoLine="0" autoPict="0">
                <anchor moveWithCells="1">
                  <from>
                    <xdr:col>0</xdr:col>
                    <xdr:colOff>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4108" r:id="rId10" name="List Box 12">
              <controlPr defaultSize="0" autoLine="0" autoPict="0">
                <anchor moveWithCells="1">
                  <from>
                    <xdr:col>0</xdr:col>
                    <xdr:colOff>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4119" r:id="rId11" name="List Box 23">
              <controlPr defaultSize="0" autoLine="0" autoPict="0">
                <anchor moveWithCells="1">
                  <from>
                    <xdr:col>0</xdr:col>
                    <xdr:colOff>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4120" r:id="rId12" name="List Box 24">
              <controlPr defaultSize="0" autoLine="0" autoPict="0">
                <anchor moveWithCells="1">
                  <from>
                    <xdr:col>0</xdr:col>
                    <xdr:colOff>0</xdr:colOff>
                    <xdr:row>27</xdr:row>
                    <xdr:rowOff>228600</xdr:rowOff>
                  </from>
                  <to>
                    <xdr:col>6</xdr:col>
                    <xdr:colOff>0</xdr:colOff>
                    <xdr:row>29</xdr:row>
                    <xdr:rowOff>0</xdr:rowOff>
                  </to>
                </anchor>
              </controlPr>
            </control>
          </mc:Choice>
        </mc:AlternateContent>
        <mc:AlternateContent xmlns:mc="http://schemas.openxmlformats.org/markup-compatibility/2006">
          <mc:Choice Requires="x14">
            <control shapeId="4123" r:id="rId13" name="List Box 27">
              <controlPr defaultSize="0" autoLine="0" autoPict="0">
                <anchor moveWithCells="1">
                  <from>
                    <xdr:col>0</xdr:col>
                    <xdr:colOff>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4127" r:id="rId14" name="List Box 31">
              <controlPr defaultSize="0" autoLine="0" autoPict="0">
                <anchor moveWithCells="1">
                  <from>
                    <xdr:col>0</xdr:col>
                    <xdr:colOff>0</xdr:colOff>
                    <xdr:row>30</xdr:row>
                    <xdr:rowOff>0</xdr:rowOff>
                  </from>
                  <to>
                    <xdr:col>6</xdr:col>
                    <xdr:colOff>0</xdr:colOff>
                    <xdr:row>31</xdr:row>
                    <xdr:rowOff>0</xdr:rowOff>
                  </to>
                </anchor>
              </controlPr>
            </control>
          </mc:Choice>
        </mc:AlternateContent>
        <mc:AlternateContent xmlns:mc="http://schemas.openxmlformats.org/markup-compatibility/2006">
          <mc:Choice Requires="x14">
            <control shapeId="4129" r:id="rId15" name="List Box 33">
              <controlPr defaultSize="0" autoLine="0" autoPict="0">
                <anchor moveWithCells="1">
                  <from>
                    <xdr:col>0</xdr:col>
                    <xdr:colOff>0</xdr:colOff>
                    <xdr:row>9</xdr:row>
                    <xdr:rowOff>228600</xdr:rowOff>
                  </from>
                  <to>
                    <xdr:col>6</xdr:col>
                    <xdr:colOff>0</xdr:colOff>
                    <xdr:row>11</xdr:row>
                    <xdr:rowOff>0</xdr:rowOff>
                  </to>
                </anchor>
              </controlPr>
            </control>
          </mc:Choice>
        </mc:AlternateContent>
        <mc:AlternateContent xmlns:mc="http://schemas.openxmlformats.org/markup-compatibility/2006">
          <mc:Choice Requires="x14">
            <control shapeId="4133" r:id="rId16" name="List Box 37">
              <controlPr defaultSize="0" autoLine="0" autoPict="0">
                <anchor moveWithCells="1">
                  <from>
                    <xdr:col>0</xdr:col>
                    <xdr:colOff>0</xdr:colOff>
                    <xdr:row>11</xdr:row>
                    <xdr:rowOff>304800</xdr:rowOff>
                  </from>
                  <to>
                    <xdr:col>6</xdr:col>
                    <xdr:colOff>0</xdr:colOff>
                    <xdr:row>13</xdr:row>
                    <xdr:rowOff>0</xdr:rowOff>
                  </to>
                </anchor>
              </controlPr>
            </control>
          </mc:Choice>
        </mc:AlternateContent>
        <mc:AlternateContent xmlns:mc="http://schemas.openxmlformats.org/markup-compatibility/2006">
          <mc:Choice Requires="x14">
            <control shapeId="4134" r:id="rId17" name="List Box 38">
              <controlPr defaultSize="0" autoLine="0" autoPict="0">
                <anchor moveWithCells="1">
                  <from>
                    <xdr:col>0</xdr:col>
                    <xdr:colOff>0</xdr:colOff>
                    <xdr:row>13</xdr:row>
                    <xdr:rowOff>304800</xdr:rowOff>
                  </from>
                  <to>
                    <xdr:col>6</xdr:col>
                    <xdr:colOff>0</xdr:colOff>
                    <xdr:row>15</xdr:row>
                    <xdr:rowOff>0</xdr:rowOff>
                  </to>
                </anchor>
              </controlPr>
            </control>
          </mc:Choice>
        </mc:AlternateContent>
        <mc:AlternateContent xmlns:mc="http://schemas.openxmlformats.org/markup-compatibility/2006">
          <mc:Choice Requires="x14">
            <control shapeId="4135" r:id="rId18" name="List Box 39">
              <controlPr defaultSize="0" autoLine="0" autoPict="0">
                <anchor moveWithCells="1">
                  <from>
                    <xdr:col>0</xdr:col>
                    <xdr:colOff>0</xdr:colOff>
                    <xdr:row>32</xdr:row>
                    <xdr:rowOff>0</xdr:rowOff>
                  </from>
                  <to>
                    <xdr:col>6</xdr:col>
                    <xdr:colOff>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dimension ref="A1:D43"/>
  <sheetViews>
    <sheetView showGridLines="0" zoomScale="115" zoomScaleNormal="115" workbookViewId="0">
      <pane ySplit="1" topLeftCell="A21" activePane="bottomLeft" state="frozen"/>
      <selection pane="bottomLeft" activeCell="D41" sqref="D41"/>
    </sheetView>
  </sheetViews>
  <sheetFormatPr defaultColWidth="9.1796875" defaultRowHeight="14"/>
  <cols>
    <col min="1" max="1" width="9.1796875" style="128"/>
    <col min="2" max="2" width="9.1796875" style="131"/>
    <col min="3" max="3" width="157.81640625" style="128" customWidth="1"/>
    <col min="4" max="4" width="18.453125" style="131" customWidth="1"/>
    <col min="5" max="16384" width="9.1796875" style="23"/>
  </cols>
  <sheetData>
    <row r="1" spans="1:4" ht="15.5">
      <c r="A1" s="120" t="str">
        <f ca="1">Database_configurator!E4</f>
        <v>S20243XP2PABBBBB07C1</v>
      </c>
      <c r="B1" s="129"/>
      <c r="C1" s="121"/>
      <c r="D1" s="132"/>
    </row>
    <row r="2" spans="1:4">
      <c r="A2" s="122" t="str">
        <f ca="1">Database_configurator!E2</f>
        <v>S20 Industrial Managed Ethernet Switch</v>
      </c>
      <c r="B2" s="130"/>
      <c r="C2" s="123"/>
      <c r="D2" s="133"/>
    </row>
    <row r="3" spans="1:4">
      <c r="A3" s="122" t="str">
        <f>Database_configurator!B5</f>
        <v>Number of ports</v>
      </c>
      <c r="B3" s="130"/>
      <c r="C3" s="123"/>
      <c r="D3" s="133"/>
    </row>
    <row r="4" spans="1:4">
      <c r="A4" s="124" t="str">
        <f ca="1">Database_configurator!E5</f>
        <v>Up to 24 Gigabit ports</v>
      </c>
      <c r="B4" s="130"/>
      <c r="C4" s="123"/>
      <c r="D4" s="133"/>
    </row>
    <row r="5" spans="1:4">
      <c r="A5" s="122" t="str">
        <f>Database_configurator!B9</f>
        <v>Power Supply 1</v>
      </c>
      <c r="B5" s="130"/>
      <c r="C5" s="123"/>
      <c r="D5" s="133"/>
    </row>
    <row r="6" spans="1:4">
      <c r="A6" s="124" t="str">
        <f ca="1">Database_configurator!E9</f>
        <v>125-250 Vdc / 110-240 Vac</v>
      </c>
      <c r="B6" s="130"/>
      <c r="C6" s="123"/>
      <c r="D6" s="133"/>
    </row>
    <row r="7" spans="1:4">
      <c r="A7" s="122" t="str">
        <f>Database_configurator!B14</f>
        <v>Power Supply 2</v>
      </c>
      <c r="B7" s="130"/>
      <c r="C7" s="123"/>
      <c r="D7" s="133"/>
    </row>
    <row r="8" spans="1:4">
      <c r="A8" s="124" t="str">
        <f ca="1">Database_configurator!E14</f>
        <v>Not installed</v>
      </c>
      <c r="B8" s="130"/>
      <c r="C8" s="123"/>
      <c r="D8" s="133"/>
    </row>
    <row r="9" spans="1:4">
      <c r="A9" s="122" t="str">
        <f>Database_configurator!B20</f>
        <v>Mounting Options</v>
      </c>
      <c r="B9" s="130"/>
      <c r="C9" s="123"/>
      <c r="D9" s="133"/>
    </row>
    <row r="10" spans="1:4">
      <c r="A10" s="124" t="str">
        <f ca="1">Database_configurator!E20</f>
        <v>19” Rack Mount / Rear Mount</v>
      </c>
      <c r="B10" s="130"/>
      <c r="C10" s="123"/>
      <c r="D10" s="133"/>
    </row>
    <row r="11" spans="1:4">
      <c r="A11" s="122" t="str">
        <f>Database_configurator!B23</f>
        <v>Software Functionality (Licensing)</v>
      </c>
      <c r="B11" s="130"/>
      <c r="C11" s="123"/>
      <c r="D11" s="133"/>
    </row>
    <row r="12" spans="1:4">
      <c r="A12" s="124" t="str">
        <f ca="1">Database_configurator!E23</f>
        <v>Standard Layer 2 packet switching (MAC Based)</v>
      </c>
      <c r="B12" s="130"/>
      <c r="C12" s="123"/>
      <c r="D12" s="133"/>
    </row>
    <row r="13" spans="1:4">
      <c r="A13" s="122" t="str">
        <f>Database_configurator!B27</f>
        <v>PTP Support (Licensing)</v>
      </c>
      <c r="B13" s="130"/>
      <c r="C13" s="123"/>
      <c r="D13" s="133"/>
    </row>
    <row r="14" spans="1:4">
      <c r="A14" s="124" t="str">
        <f ca="1">Database_configurator!E27</f>
        <v>With PTP (IEEE 1588v2) support</v>
      </c>
      <c r="B14" s="130"/>
      <c r="C14" s="123"/>
      <c r="D14" s="133"/>
    </row>
    <row r="15" spans="1:4">
      <c r="A15" s="122" t="str">
        <f>Database_configurator!B31</f>
        <v>Interface Module 1</v>
      </c>
      <c r="B15" s="130"/>
      <c r="C15" s="123"/>
      <c r="D15" s="133"/>
    </row>
    <row r="16" spans="1:4">
      <c r="A16" s="124" t="str">
        <f ca="1">Database_configurator!E31</f>
        <v>Four 1 Gbps RJ45 copper 10/100BASE-TX/1000BASE-T Ethernet ports</v>
      </c>
      <c r="B16" s="130"/>
      <c r="C16" s="123"/>
      <c r="D16" s="133"/>
    </row>
    <row r="17" spans="1:4">
      <c r="A17" s="122" t="str">
        <f>Database_configurator!B46</f>
        <v>Interface Module 2</v>
      </c>
      <c r="B17" s="130"/>
      <c r="C17" s="123"/>
      <c r="D17" s="133"/>
    </row>
    <row r="18" spans="1:4" s="207" customFormat="1">
      <c r="A18" s="124" t="str">
        <f ca="1">Database_configurator!E46</f>
        <v>Four slots for SFP transceivers (up to 1 Gbps)</v>
      </c>
      <c r="B18" s="130"/>
      <c r="C18" s="123"/>
      <c r="D18" s="133"/>
    </row>
    <row r="19" spans="1:4">
      <c r="A19" s="122" t="str">
        <f>Database_configurator!B58</f>
        <v>Interface Module 3</v>
      </c>
      <c r="B19" s="130"/>
      <c r="C19" s="123"/>
      <c r="D19" s="133"/>
    </row>
    <row r="20" spans="1:4">
      <c r="A20" s="124" t="str">
        <f ca="1">Database_configurator!E58</f>
        <v>Four slots for SFP transceivers (up to 1 Gbps)</v>
      </c>
      <c r="B20" s="130"/>
      <c r="C20" s="123"/>
      <c r="D20" s="133"/>
    </row>
    <row r="21" spans="1:4">
      <c r="A21" s="122" t="str">
        <f>Database_configurator!B70</f>
        <v>Interface Module 4</v>
      </c>
      <c r="B21" s="130"/>
      <c r="C21" s="123"/>
      <c r="D21" s="133"/>
    </row>
    <row r="22" spans="1:4" s="207" customFormat="1">
      <c r="A22" s="124" t="str">
        <f ca="1">Database_configurator!E70</f>
        <v>Four slots for SFP transceivers (up to 1 Gbps)</v>
      </c>
      <c r="B22" s="130"/>
      <c r="C22" s="123"/>
      <c r="D22" s="133"/>
    </row>
    <row r="23" spans="1:4">
      <c r="A23" s="122" t="str">
        <f>Database_configurator!B82</f>
        <v>Interface Module 5</v>
      </c>
      <c r="B23" s="130"/>
      <c r="C23" s="123"/>
      <c r="D23" s="133"/>
    </row>
    <row r="24" spans="1:4" s="207" customFormat="1">
      <c r="A24" s="124" t="str">
        <f ca="1">Database_configurator!E82</f>
        <v>Four slots for SFP transceivers (up to 1 Gbps)</v>
      </c>
      <c r="B24" s="130"/>
      <c r="C24" s="123"/>
      <c r="D24" s="133"/>
    </row>
    <row r="25" spans="1:4">
      <c r="A25" s="122" t="str">
        <f>Database_configurator!B94</f>
        <v>Interface Module 6</v>
      </c>
      <c r="B25" s="130"/>
      <c r="C25" s="123"/>
      <c r="D25" s="133"/>
    </row>
    <row r="26" spans="1:4" s="207" customFormat="1">
      <c r="A26" s="124" t="str">
        <f ca="1">Database_configurator!E94</f>
        <v>Four slots for SFP transceivers (up to 1 Gbps)</v>
      </c>
      <c r="B26" s="130"/>
      <c r="C26" s="123"/>
      <c r="D26" s="133"/>
    </row>
    <row r="27" spans="1:4" s="207" customFormat="1">
      <c r="A27" s="122" t="str">
        <f>Database_configurator!B106</f>
        <v>Firmware Version</v>
      </c>
      <c r="B27" s="130"/>
      <c r="C27" s="123"/>
      <c r="D27" s="133"/>
    </row>
    <row r="28" spans="1:4" s="207" customFormat="1">
      <c r="A28" s="124" t="str">
        <f ca="1">Database_configurator!E106</f>
        <v>Firmware release number 07</v>
      </c>
      <c r="B28" s="130"/>
      <c r="C28" s="123"/>
      <c r="D28" s="133"/>
    </row>
    <row r="29" spans="1:4" s="207" customFormat="1">
      <c r="A29" s="122" t="str">
        <f>Database_configurator!B110</f>
        <v>Hardware Design Suffix</v>
      </c>
      <c r="B29" s="130"/>
      <c r="C29" s="123"/>
      <c r="D29" s="133"/>
    </row>
    <row r="30" spans="1:4" s="207" customFormat="1">
      <c r="A30" s="235" t="str">
        <f ca="1">Database_configurator!E110</f>
        <v>Hardware C version</v>
      </c>
      <c r="B30" s="130"/>
      <c r="C30" s="123"/>
      <c r="D30" s="133"/>
    </row>
    <row r="31" spans="1:4" s="207" customFormat="1">
      <c r="A31" s="122" t="str">
        <f>Database_configurator!B114</f>
        <v>UL/CSA Recognized</v>
      </c>
      <c r="B31" s="130"/>
      <c r="C31" s="123"/>
      <c r="D31" s="133"/>
    </row>
    <row r="32" spans="1:4" s="207" customFormat="1" ht="14.5" thickBot="1">
      <c r="A32" s="235" t="str">
        <f ca="1">Database_configurator!E114</f>
        <v>Yes</v>
      </c>
      <c r="B32" s="130"/>
      <c r="C32" s="123"/>
      <c r="D32" s="133"/>
    </row>
    <row r="33" spans="1:4">
      <c r="A33" s="126"/>
      <c r="B33" s="129"/>
      <c r="C33" s="121"/>
      <c r="D33" s="132"/>
    </row>
    <row r="34" spans="1:4">
      <c r="A34" s="127"/>
      <c r="B34" s="134" t="str">
        <f>HLOOKUP(Language!$C$3,Language!$E$1:$Z514,65,FALSE)</f>
        <v>Issue</v>
      </c>
      <c r="C34" s="267" t="str">
        <f>HLOOKUP(Language!$C$3,Language!$E$1:$Z516,88,FALSE)</f>
        <v>Description</v>
      </c>
      <c r="D34" s="266" t="str">
        <f>HLOOKUP(Language!$C$3,Language!$E$1:$Z516,89,FALSE)</f>
        <v>Date (DD-MM-YY)</v>
      </c>
    </row>
    <row r="35" spans="1:4">
      <c r="A35" s="127"/>
      <c r="B35" s="260" t="s">
        <v>185</v>
      </c>
      <c r="C35" s="265" t="str">
        <f>HLOOKUP(Language!$C$3,Language!$E$1:$Z513,66,FALSE)</f>
        <v>Original created - Merging S2020 and S2024G cortecs / PTP support to S2020 / New L3 functionalities / Removed option X from module 1</v>
      </c>
      <c r="D35" s="264">
        <f>'Date Drivers'!C2</f>
        <v>43063</v>
      </c>
    </row>
    <row r="36" spans="1:4">
      <c r="A36" s="127"/>
      <c r="B36" s="263" t="s">
        <v>41</v>
      </c>
      <c r="C36" s="261" t="str">
        <f>HLOOKUP(Language!$C$3,Language!$E$1:$Z514,75,FALSE)</f>
        <v>Alternate hardware (BL) withdraw / Transceiver SFP1GCU01K replaced by SFP1GCU02K (refer to GER-4848) / Description from Software Functionality updated</v>
      </c>
      <c r="D36" s="262">
        <f>'Date Drivers'!G2</f>
        <v>43348</v>
      </c>
    </row>
    <row r="37" spans="1:4">
      <c r="A37" s="127"/>
      <c r="B37" s="263" t="s">
        <v>83</v>
      </c>
      <c r="C37" s="261" t="str">
        <f>HLOOKUP(Language!$C$3,Language!$E$1:$Z515,82,FALSE)</f>
        <v>Added new hardware version C and new SFP 100 Mbps single mode for 20 km</v>
      </c>
      <c r="D37" s="262">
        <f>'Date Drivers'!K2</f>
        <v>43819</v>
      </c>
    </row>
    <row r="38" spans="1:4">
      <c r="A38" s="127"/>
      <c r="B38" s="263" t="s">
        <v>79</v>
      </c>
      <c r="C38" s="261" t="str">
        <f>HLOOKUP(Language!$C$3,Language!$E$1:$Z516,90,FALSE)</f>
        <v>Added new power supply option 4: 125-250 Vdc / 110-240 Vac (non UL recognized)</v>
      </c>
      <c r="D38" s="262">
        <f>'Date Drivers'!O2</f>
        <v>43930</v>
      </c>
    </row>
    <row r="39" spans="1:4">
      <c r="A39" s="127"/>
      <c r="B39" s="263" t="s">
        <v>80</v>
      </c>
      <c r="C39" s="261" t="str">
        <f>HLOOKUP(Language!$C$3,Language!$E$1:$Z517,98,FALSE)</f>
        <v>S20 Hardware C Power Supply Option 4 (non-UL) discontinued. Refer to End-of-Manufacturing notice GER-4885 and CID006537.</v>
      </c>
      <c r="D39" s="262">
        <f>'Date Drivers'!S2</f>
        <v>44166</v>
      </c>
    </row>
    <row r="40" spans="1:4">
      <c r="A40" s="127"/>
      <c r="B40" s="263" t="s">
        <v>81</v>
      </c>
      <c r="C40" s="261" t="str">
        <f>HLOOKUP(Language!$C$3,Language!$E$1:$Z518,102,FALSE)</f>
        <v>UL/CSA recognition has been added as optional depending on order code</v>
      </c>
      <c r="D40" s="262">
        <f>'Date Drivers'!W2</f>
        <v>44377</v>
      </c>
    </row>
    <row r="41" spans="1:4" ht="25">
      <c r="A41" s="127"/>
      <c r="B41" s="263" t="s">
        <v>82</v>
      </c>
      <c r="C41" s="302" t="str">
        <f>HLOOKUP(Language!$C$3,Language!$E$1:$Z519,105,FALSE)</f>
        <v>Becoming available in Hardware C, low voltage power supply rating changed to 48Vdc. PNR-1 PulseNet license added in Accessories list. This version also reflect some SFP models end-of-life as per GER-4938 notice.</v>
      </c>
      <c r="D41" s="262">
        <f>'Date Drivers'!AA2</f>
        <v>45012</v>
      </c>
    </row>
    <row r="42" spans="1:4">
      <c r="A42" s="127"/>
      <c r="B42" s="263" t="s">
        <v>199</v>
      </c>
      <c r="C42" s="302" t="str">
        <f>HLOOKUP(Language!$C$3,Language!$E$1:$Z520,108,FALSE)</f>
        <v>S20 Hardware B version has been discontinued as per End-of-Manufacturing notice GER-4956.</v>
      </c>
      <c r="D42" s="262">
        <f>'Date Drivers'!AE2</f>
        <v>45395</v>
      </c>
    </row>
    <row r="43" spans="1:4" ht="14.5" thickBot="1">
      <c r="A43" s="125"/>
      <c r="B43" s="135"/>
      <c r="C43" s="136"/>
      <c r="D43" s="137"/>
    </row>
  </sheetData>
  <sheetProtection algorithmName="SHA-512" hashValue="zVCusHHyNym4yJdckhDjxp6BSJIgPZ6vDaWaEm53d7wCxqSUr/+qRqOuqDHen4+qSdQdU9ny1vAfYn/FEnUsgw==" saltValue="3eDIl05Y2IGqnWulsNq7Uw==" spinCount="100000" sheet="1" objects="1" scenarios="1"/>
  <pageMargins left="0.511811024" right="0.511811024" top="0.78740157499999996" bottom="0.78740157499999996" header="0.31496062000000002" footer="0.31496062000000002"/>
  <pageSetup paperSize="9" orientation="portrait" r:id="rId1"/>
  <ignoredErrors>
    <ignoredError sqref="A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0"/>
  <sheetViews>
    <sheetView showGridLines="0" zoomScale="115" zoomScaleNormal="115" workbookViewId="0">
      <selection activeCell="D21" sqref="D21"/>
    </sheetView>
  </sheetViews>
  <sheetFormatPr defaultColWidth="9.1796875" defaultRowHeight="14"/>
  <cols>
    <col min="1" max="1" width="22.26953125" style="212" customWidth="1"/>
    <col min="2" max="4" width="21.54296875" style="212" customWidth="1"/>
    <col min="5" max="5" width="35.1796875" style="212" customWidth="1"/>
    <col min="6" max="16384" width="9.1796875" style="212"/>
  </cols>
  <sheetData>
    <row r="1" spans="1:7" s="211" customFormat="1" ht="20.25" customHeight="1">
      <c r="A1" s="319" t="str">
        <f>HLOOKUP(Language!$C$3,Language!$E$1:$Z515,54,FALSE)</f>
        <v>Accessories</v>
      </c>
      <c r="B1" s="320"/>
      <c r="C1" s="320"/>
      <c r="D1" s="320"/>
      <c r="E1" s="321"/>
    </row>
    <row r="2" spans="1:7" s="211" customFormat="1" ht="7.5" customHeight="1">
      <c r="A2" s="270"/>
      <c r="B2" s="270"/>
      <c r="C2" s="270"/>
      <c r="D2" s="270"/>
      <c r="E2" s="270"/>
    </row>
    <row r="3" spans="1:7" s="211" customFormat="1" ht="20" customHeight="1">
      <c r="A3" s="320" t="s">
        <v>224</v>
      </c>
      <c r="B3" s="320"/>
      <c r="C3" s="320"/>
      <c r="D3" s="320"/>
      <c r="E3" s="320"/>
    </row>
    <row r="4" spans="1:7">
      <c r="A4" s="215" t="str">
        <f>HLOOKUP(Language!$C$3,Language!$E$1:$Z517,55,FALSE)</f>
        <v>Code</v>
      </c>
      <c r="B4" s="324" t="str">
        <f>HLOOKUP(Language!$C$3,Language!$E$1:$Z517,56,FALSE)</f>
        <v>Description</v>
      </c>
      <c r="C4" s="324"/>
      <c r="D4" s="324"/>
      <c r="E4" s="324"/>
    </row>
    <row r="5" spans="1:7" s="213" customFormat="1" ht="24.75" customHeight="1">
      <c r="A5" s="268" t="s">
        <v>188</v>
      </c>
      <c r="B5" s="322" t="str">
        <f>HLOOKUP(Language!$C$3,Language!$E$1:$Z514,57,FALSE)</f>
        <v>SFP Transceiver 10/100/1000Mbps, RJ45 connector</v>
      </c>
      <c r="C5" s="322"/>
      <c r="D5" s="322"/>
      <c r="E5" s="322"/>
      <c r="G5" s="212"/>
    </row>
    <row r="6" spans="1:7" s="213" customFormat="1" ht="24.75" customHeight="1">
      <c r="A6" s="268" t="s">
        <v>113</v>
      </c>
      <c r="B6" s="322" t="str">
        <f>HLOOKUP(Language!$C$3,Language!$E$1:$Z515,58,FALSE)</f>
        <v>SFP Transceiver 1000Mbps LC single mode, 1310nm wavelength, 20km</v>
      </c>
      <c r="C6" s="322"/>
      <c r="D6" s="322"/>
      <c r="E6" s="322"/>
      <c r="G6" s="212"/>
    </row>
    <row r="7" spans="1:7" s="213" customFormat="1" ht="24.75" customHeight="1">
      <c r="A7" s="216" t="s">
        <v>90</v>
      </c>
      <c r="B7" s="323" t="str">
        <f>HLOOKUP(Language!$C$3,Language!$E$1:$Z515,59,FALSE)</f>
        <v>SFP Transceiver 1000Mbps LC single mode, 1310nm wavelength, 40km</v>
      </c>
      <c r="C7" s="323"/>
      <c r="D7" s="323"/>
      <c r="E7" s="323"/>
      <c r="G7" s="212"/>
    </row>
    <row r="8" spans="1:7" s="213" customFormat="1" ht="24.75" customHeight="1">
      <c r="A8" s="216" t="s">
        <v>91</v>
      </c>
      <c r="B8" s="323" t="str">
        <f>HLOOKUP(Language!$C$3,Language!$E$1:$Z515,60,FALSE)</f>
        <v>SFP Transceiver 1000Mbps LC single mode, 1550nm wavelength, 80km</v>
      </c>
      <c r="C8" s="323"/>
      <c r="D8" s="323"/>
      <c r="E8" s="323"/>
      <c r="G8" s="212"/>
    </row>
    <row r="9" spans="1:7" s="213" customFormat="1" ht="24.75" hidden="1" customHeight="1">
      <c r="A9" s="222" t="s">
        <v>110</v>
      </c>
      <c r="B9" s="316" t="str">
        <f>HLOOKUP(Language!$C$3,Language!$E$1:$Z516,61,FALSE)</f>
        <v>SFP Transceiver 1000Mbps LC single mode, 1550nm wavelength, 120km </v>
      </c>
      <c r="C9" s="317"/>
      <c r="D9" s="317"/>
      <c r="E9" s="318"/>
      <c r="G9" s="212"/>
    </row>
    <row r="10" spans="1:7" s="213" customFormat="1" ht="24.5" customHeight="1">
      <c r="A10" s="269" t="s">
        <v>92</v>
      </c>
      <c r="B10" s="325" t="str">
        <f>HLOOKUP(Language!$C$3,Language!$E$1:$Z515,62,FALSE)</f>
        <v>SFP Transceiver 1000Mbps LC multi mode, 850nm wavelength, 500m</v>
      </c>
      <c r="C10" s="326"/>
      <c r="D10" s="326"/>
      <c r="E10" s="327"/>
      <c r="G10" s="212"/>
    </row>
    <row r="11" spans="1:7" s="213" customFormat="1" ht="23.25" customHeight="1">
      <c r="A11" s="301" t="s">
        <v>93</v>
      </c>
      <c r="B11" s="316" t="str">
        <f>HLOOKUP(Language!$C$3,Language!$E$1:$Z515,63,FALSE)</f>
        <v>SFP Transceiver 100Mbps LC multi mode, 1310nm wavelength, 2km</v>
      </c>
      <c r="C11" s="317"/>
      <c r="D11" s="317"/>
      <c r="E11" s="318"/>
      <c r="G11" s="212"/>
    </row>
    <row r="12" spans="1:7" hidden="1">
      <c r="A12" s="257" t="s">
        <v>88</v>
      </c>
      <c r="B12" s="328" t="str">
        <f>HLOOKUP(Language!$C$3,Language!$E$1:$Z522,76,FALSE)</f>
        <v>SFP Transceiver 10/100/1000Mbps, RJ45 connector, not CE Market (Withdraw)</v>
      </c>
      <c r="C12" s="328"/>
      <c r="D12" s="328"/>
      <c r="E12" s="328"/>
    </row>
    <row r="13" spans="1:7" ht="24.75" hidden="1" customHeight="1">
      <c r="A13" s="222" t="s">
        <v>209</v>
      </c>
      <c r="B13" s="323" t="str">
        <f>HLOOKUP(Language!$C$3,Language!$E$1:$Z517,84,FALSE)</f>
        <v>SFP Transceiver 100Mbps LC single mode, 1310nm wavelength, 20km</v>
      </c>
      <c r="C13" s="323"/>
      <c r="D13" s="323"/>
      <c r="E13" s="323"/>
    </row>
    <row r="14" spans="1:7" ht="14.25" hidden="1" customHeight="1">
      <c r="A14" s="222" t="s">
        <v>204</v>
      </c>
      <c r="B14" s="323" t="str">
        <f>HLOOKUP(Language!$C$3,Language!$E$1:$Z524,83,FALSE)</f>
        <v>PulseNET Reason License (per device) - Network Management Software (NMS)</v>
      </c>
      <c r="C14" s="323"/>
      <c r="D14" s="323"/>
      <c r="E14" s="323"/>
    </row>
    <row r="15" spans="1:7">
      <c r="B15" s="214"/>
      <c r="C15" s="214"/>
      <c r="D15" s="214"/>
      <c r="E15" s="214"/>
    </row>
    <row r="16" spans="1:7" s="211" customFormat="1" ht="20" customHeight="1">
      <c r="A16" s="320" t="s">
        <v>251</v>
      </c>
      <c r="B16" s="320"/>
      <c r="C16" s="320"/>
      <c r="D16" s="320"/>
      <c r="E16" s="320"/>
    </row>
    <row r="17" spans="1:5">
      <c r="A17" s="215" t="str">
        <f>HLOOKUP(Language!$C$3,Language!$E$1:$Z530,55,FALSE)</f>
        <v>Code</v>
      </c>
      <c r="B17" s="324" t="str">
        <f>HLOOKUP(Language!$C$3,Language!$E$1:$Z530,56,FALSE)</f>
        <v>Description</v>
      </c>
      <c r="C17" s="324"/>
      <c r="D17" s="324"/>
      <c r="E17" s="324"/>
    </row>
    <row r="18" spans="1:5">
      <c r="A18" s="268" t="s">
        <v>204</v>
      </c>
      <c r="B18" s="322" t="str">
        <f>HLOOKUP(Language!$C$3,Language!$E$1:$Z527,106,FALSE)</f>
        <v>PulseNET NMS licensing for Reason S20 - one license per device</v>
      </c>
      <c r="C18" s="322"/>
      <c r="D18" s="322"/>
      <c r="E18" s="322"/>
    </row>
    <row r="19" spans="1:5">
      <c r="B19" s="214"/>
      <c r="C19" s="214"/>
      <c r="D19" s="214"/>
      <c r="E19" s="214"/>
    </row>
    <row r="20" spans="1:5">
      <c r="B20" s="214"/>
      <c r="C20" s="214"/>
      <c r="D20" s="214"/>
      <c r="E20" s="214"/>
    </row>
  </sheetData>
  <sheetProtection algorithmName="SHA-512" hashValue="qcyO1FkjoFdTOGDjpM5uu3yR4rH60HFWDuMPwx+hqu/8EL561+LEba70xyvLSEjX4UHVdQiQDQbhHOo4NqqvyQ==" saltValue="0UKfk8qzV5WeS/kPDoE33g==" spinCount="100000" sheet="1" objects="1" scenarios="1"/>
  <mergeCells count="16">
    <mergeCell ref="A16:E16"/>
    <mergeCell ref="B17:E17"/>
    <mergeCell ref="B18:E18"/>
    <mergeCell ref="B14:E14"/>
    <mergeCell ref="B10:E10"/>
    <mergeCell ref="B11:E11"/>
    <mergeCell ref="B12:E12"/>
    <mergeCell ref="B13:E13"/>
    <mergeCell ref="B9:E9"/>
    <mergeCell ref="A1:E1"/>
    <mergeCell ref="B5:E5"/>
    <mergeCell ref="B6:E6"/>
    <mergeCell ref="B7:E7"/>
    <mergeCell ref="B8:E8"/>
    <mergeCell ref="B4:E4"/>
    <mergeCell ref="A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5"/>
  <dimension ref="A1:L116"/>
  <sheetViews>
    <sheetView zoomScaleNormal="100" workbookViewId="0">
      <selection activeCell="E46" sqref="E46"/>
    </sheetView>
  </sheetViews>
  <sheetFormatPr defaultColWidth="9.1796875" defaultRowHeight="11.5"/>
  <cols>
    <col min="1" max="1" width="5.26953125" style="1" customWidth="1"/>
    <col min="2" max="2" width="30.7265625" style="176" customWidth="1"/>
    <col min="3" max="3" width="4" style="1" customWidth="1"/>
    <col min="4" max="4" width="3.81640625" style="1" customWidth="1"/>
    <col min="5" max="5" width="85.1796875" style="14" customWidth="1"/>
    <col min="6" max="6" width="5.81640625" style="1" customWidth="1"/>
    <col min="7" max="8" width="10.7265625" style="206" customWidth="1"/>
    <col min="9" max="9" width="9.1796875" style="176"/>
    <col min="10" max="10" width="29.26953125" style="176" customWidth="1"/>
    <col min="11" max="11" width="19.26953125" style="176" customWidth="1"/>
    <col min="12" max="12" width="45.26953125" style="176" customWidth="1"/>
    <col min="13" max="16384" width="9.1796875" style="176"/>
  </cols>
  <sheetData>
    <row r="1" spans="1:11">
      <c r="B1" s="164" t="s">
        <v>30</v>
      </c>
      <c r="C1" s="174"/>
      <c r="D1" s="174"/>
      <c r="E1" s="256">
        <v>45395</v>
      </c>
      <c r="G1" s="175" t="s">
        <v>42</v>
      </c>
      <c r="H1" s="175" t="s">
        <v>37</v>
      </c>
      <c r="J1" s="177" t="s">
        <v>31</v>
      </c>
      <c r="K1" s="178" t="str">
        <f>ADDRESS(1,MATCH(E1,'Date Drivers'!A2:ZA2,0),1,1,"Date Drivers")</f>
        <v>'Date Drivers'!$AE$1</v>
      </c>
    </row>
    <row r="2" spans="1:11">
      <c r="B2" s="164" t="str">
        <f>INDEX('Date Drivers'!$A$1:$B$381,4,2)</f>
        <v>Model Type</v>
      </c>
      <c r="C2" s="174"/>
      <c r="D2" s="174"/>
      <c r="E2" s="179" t="str">
        <f ca="1">INDEX(INDIRECT($K$1&amp;":"&amp;$K$2),4,1)</f>
        <v>S20 Industrial Managed Ethernet Switch</v>
      </c>
      <c r="G2" s="175">
        <f ca="1">INDEX(INDIRECT($K$1&amp;":"&amp;$K$2),5,3)</f>
        <v>0</v>
      </c>
      <c r="H2" s="175" t="str">
        <f ca="1">INDEX(INDIRECT($K$1&amp;":"&amp;$K$2),5,4)</f>
        <v>Y</v>
      </c>
      <c r="J2" s="177" t="s">
        <v>32</v>
      </c>
      <c r="K2" s="178" t="str">
        <f>ADDRESS(500,MATCH(E1,'Date Drivers'!A2:ZA2,0)+4,1,1)</f>
        <v>$AI$500</v>
      </c>
    </row>
    <row r="3" spans="1:11">
      <c r="B3" s="164" t="s">
        <v>68</v>
      </c>
      <c r="C3" s="174"/>
      <c r="D3" s="174"/>
      <c r="E3" s="179" t="str">
        <f>'Date Drivers'!C5</f>
        <v>S20</v>
      </c>
      <c r="G3" s="175"/>
      <c r="H3" s="175"/>
      <c r="J3" s="180"/>
      <c r="K3" s="181"/>
    </row>
    <row r="4" spans="1:11">
      <c r="B4" s="165" t="s">
        <v>71</v>
      </c>
      <c r="C4" s="182"/>
      <c r="D4" s="182"/>
      <c r="E4" s="179" t="str">
        <f ca="1">CONCATENATE(E3,F5,F9,F14,F20,F23,F27,F31,F46,F58,F70,F82,F94,F106,F110,F114)</f>
        <v>S20243XP2PABBBBB07C1</v>
      </c>
      <c r="G4" s="175"/>
      <c r="H4" s="175"/>
      <c r="J4" s="183"/>
    </row>
    <row r="5" spans="1:11">
      <c r="A5" s="184">
        <v>1</v>
      </c>
      <c r="B5" s="185" t="str">
        <f>INDEX('Date Drivers'!$A$1:$B$381,Database_configurator!C6,2)</f>
        <v>Number of ports</v>
      </c>
      <c r="C5" s="186"/>
      <c r="D5" s="187">
        <v>2</v>
      </c>
      <c r="E5" s="188" t="str">
        <f ca="1">VLOOKUP(D5,D6:F7,2,FALSE)</f>
        <v>Up to 24 Gigabit ports</v>
      </c>
      <c r="F5" s="187">
        <f ca="1">VLOOKUP(D5,D6:F7,3,FALSE)</f>
        <v>24</v>
      </c>
      <c r="G5" s="187">
        <f ca="1">VLOOKUP(D5,D6:H7,4,FALSE)</f>
        <v>0</v>
      </c>
      <c r="H5" s="187" t="str">
        <f ca="1">VLOOKUP(D5,D6:H7,5,FALSE)</f>
        <v>Y</v>
      </c>
      <c r="J5" s="183"/>
    </row>
    <row r="6" spans="1:11">
      <c r="A6" s="183"/>
      <c r="B6" s="183"/>
      <c r="C6" s="9">
        <f>MATCH(A5,'Date Drivers'!$A$1:$A$381,0)</f>
        <v>6</v>
      </c>
      <c r="D6" s="9">
        <v>1</v>
      </c>
      <c r="E6" s="189" t="str">
        <f ca="1">INDEX(INDIRECT($K$1&amp;":"&amp;$K$2),C6,1)</f>
        <v>Up to 20 ports (4x Gigabit)</v>
      </c>
      <c r="F6" s="9">
        <f ca="1">INDEX(INDIRECT($K$1&amp;":"&amp;$K$2),C6,2)</f>
        <v>20</v>
      </c>
      <c r="G6" s="190">
        <f ca="1">INDEX(INDIRECT($K$1&amp;":"&amp;$K$2),C6,3)</f>
        <v>0</v>
      </c>
      <c r="H6" s="191" t="str">
        <f ca="1">INDEX(INDIRECT($K$1&amp;":"&amp;$K$2),C6,4)</f>
        <v>Y</v>
      </c>
      <c r="J6" s="183"/>
    </row>
    <row r="7" spans="1:11">
      <c r="A7" s="183"/>
      <c r="B7" s="183"/>
      <c r="C7" s="9">
        <f>C6+1</f>
        <v>7</v>
      </c>
      <c r="D7" s="9">
        <v>2</v>
      </c>
      <c r="E7" s="189" t="str">
        <f ca="1">INDEX(INDIRECT($K$1&amp;":"&amp;$K$2),C7,1)</f>
        <v>Up to 24 Gigabit ports</v>
      </c>
      <c r="F7" s="9">
        <f ca="1">INDEX(INDIRECT($K$1&amp;":"&amp;$K$2),C7,2)</f>
        <v>24</v>
      </c>
      <c r="G7" s="192">
        <f ca="1">INDEX(INDIRECT($K$1&amp;":"&amp;$K$2),C7,3)</f>
        <v>0</v>
      </c>
      <c r="H7" s="193" t="str">
        <f ca="1">INDEX(INDIRECT($K$1&amp;":"&amp;$K$2),C7,4)</f>
        <v>Y</v>
      </c>
      <c r="J7" s="183"/>
    </row>
    <row r="8" spans="1:11">
      <c r="A8" s="164"/>
      <c r="B8" s="164"/>
      <c r="C8" s="194"/>
      <c r="D8" s="194"/>
      <c r="E8" s="189"/>
      <c r="F8" s="9"/>
      <c r="G8" s="195"/>
      <c r="H8" s="196"/>
      <c r="J8" s="183"/>
    </row>
    <row r="9" spans="1:11">
      <c r="A9" s="184">
        <v>2</v>
      </c>
      <c r="B9" s="185" t="str">
        <f>INDEX('Date Drivers'!$A$1:$B$381,Database_configurator!C10,2)</f>
        <v>Power Supply 1</v>
      </c>
      <c r="C9" s="186"/>
      <c r="D9" s="187">
        <v>2</v>
      </c>
      <c r="E9" s="188" t="str">
        <f ca="1">VLOOKUP(D9,D10:F11,2,FALSE)</f>
        <v>125-250 Vdc / 110-240 Vac</v>
      </c>
      <c r="F9" s="187">
        <f ca="1">VLOOKUP(D9,D10:F11,3,FALSE)</f>
        <v>3</v>
      </c>
      <c r="G9" s="187">
        <f ca="1">VLOOKUP(D9,D10:H12,4,FALSE)</f>
        <v>0</v>
      </c>
      <c r="H9" s="187" t="str">
        <f ca="1">VLOOKUP(D9,D10:H12,5,FALSE)</f>
        <v>Y</v>
      </c>
    </row>
    <row r="10" spans="1:11">
      <c r="A10" s="183"/>
      <c r="B10" s="183"/>
      <c r="C10" s="9">
        <f>MATCH(A9,'Date Drivers'!$A$1:$A$381,0)</f>
        <v>9</v>
      </c>
      <c r="D10" s="9">
        <v>1</v>
      </c>
      <c r="E10" s="189" t="str">
        <f t="shared" ref="E10:E11" ca="1" si="0">INDEX(INDIRECT($K$1&amp;":"&amp;$K$2),C10,1)</f>
        <v>48 Vdc</v>
      </c>
      <c r="F10" s="9">
        <v>1</v>
      </c>
      <c r="G10" s="190">
        <f ca="1">INDEX(INDIRECT($K$1&amp;":"&amp;$K$2),C10,3)</f>
        <v>0</v>
      </c>
      <c r="H10" s="191" t="str">
        <f ca="1">INDEX(INDIRECT($K$1&amp;":"&amp;$K$2),C10,4)</f>
        <v>Y</v>
      </c>
    </row>
    <row r="11" spans="1:11">
      <c r="A11" s="183"/>
      <c r="B11" s="183"/>
      <c r="C11" s="9">
        <f>C10+1</f>
        <v>10</v>
      </c>
      <c r="D11" s="9">
        <f t="shared" ref="D11" si="1">D10+1</f>
        <v>2</v>
      </c>
      <c r="E11" s="189" t="str">
        <f t="shared" ca="1" si="0"/>
        <v>125-250 Vdc / 110-240 Vac</v>
      </c>
      <c r="F11" s="9">
        <f ca="1">INDEX(INDIRECT($K$1&amp;":"&amp;$K$2),C11,2)</f>
        <v>3</v>
      </c>
      <c r="G11" s="192">
        <f ca="1">INDEX(INDIRECT($K$1&amp;":"&amp;$K$2),C11,3)</f>
        <v>0</v>
      </c>
      <c r="H11" s="193" t="str">
        <f ca="1">INDEX(INDIRECT($K$1&amp;":"&amp;$K$2),C11,4)</f>
        <v>Y</v>
      </c>
    </row>
    <row r="12" spans="1:11">
      <c r="A12" s="259"/>
      <c r="B12" s="259"/>
      <c r="C12" s="9"/>
      <c r="D12" s="9"/>
      <c r="E12" s="189"/>
      <c r="F12" s="9"/>
      <c r="G12" s="192"/>
      <c r="H12" s="193"/>
    </row>
    <row r="13" spans="1:11">
      <c r="B13" s="183"/>
      <c r="C13" s="9"/>
      <c r="D13" s="9"/>
      <c r="E13" s="189"/>
      <c r="F13" s="9"/>
      <c r="G13" s="195"/>
      <c r="H13" s="196"/>
    </row>
    <row r="14" spans="1:11">
      <c r="A14" s="184">
        <v>3</v>
      </c>
      <c r="B14" s="197" t="str">
        <f>INDEX('Date Drivers'!$A$1:$B$381,Database_configurator!C15,2)</f>
        <v>Power Supply 2</v>
      </c>
      <c r="C14" s="186"/>
      <c r="D14" s="187">
        <v>3</v>
      </c>
      <c r="E14" s="188" t="str">
        <f ca="1">VLOOKUP(D14,D15:F18,2,FALSE)</f>
        <v>Not installed</v>
      </c>
      <c r="F14" s="187" t="str">
        <f ca="1">VLOOKUP(D14,D15:F17,3,FALSE)</f>
        <v>X</v>
      </c>
      <c r="G14" s="187">
        <f ca="1">VLOOKUP(D14,D15:H18,4,FALSE)</f>
        <v>0</v>
      </c>
      <c r="H14" s="187" t="str">
        <f ca="1">VLOOKUP(D14,D15:H18,5,FALSE)</f>
        <v>Y</v>
      </c>
    </row>
    <row r="15" spans="1:11">
      <c r="A15" s="183"/>
      <c r="B15" s="183"/>
      <c r="C15" s="9">
        <f>MATCH(A14,'Date Drivers'!$A$1:$A$381,0)</f>
        <v>13</v>
      </c>
      <c r="D15" s="9">
        <v>1</v>
      </c>
      <c r="E15" s="189" t="str">
        <f t="shared" ref="E15:E17" ca="1" si="2">INDEX(INDIRECT($K$1&amp;":"&amp;$K$2),C15,1)</f>
        <v>48 Vdc</v>
      </c>
      <c r="F15" s="9">
        <f ca="1">INDEX(INDIRECT($K$1&amp;":"&amp;$K$2),C15,2)</f>
        <v>1</v>
      </c>
      <c r="G15" s="190">
        <f ca="1">INDEX(INDIRECT($K$1&amp;":"&amp;$K$2),C15,3)</f>
        <v>0</v>
      </c>
      <c r="H15" s="191" t="str">
        <f ca="1">INDEX(INDIRECT($K$1&amp;":"&amp;$K$2),C15,4)</f>
        <v>Y</v>
      </c>
    </row>
    <row r="16" spans="1:11">
      <c r="A16" s="183"/>
      <c r="B16" s="183"/>
      <c r="C16" s="9">
        <f t="shared" ref="C16:D17" si="3">C15+1</f>
        <v>14</v>
      </c>
      <c r="D16" s="9">
        <f t="shared" si="3"/>
        <v>2</v>
      </c>
      <c r="E16" s="189" t="str">
        <f t="shared" ca="1" si="2"/>
        <v>125-250 Vdc / 110-240 Vac</v>
      </c>
      <c r="F16" s="9">
        <f ca="1">INDEX(INDIRECT($K$1&amp;":"&amp;$K$2),C16,2)</f>
        <v>3</v>
      </c>
      <c r="G16" s="192">
        <f ca="1">INDEX(INDIRECT($K$1&amp;":"&amp;$K$2),C16,3)</f>
        <v>0</v>
      </c>
      <c r="H16" s="193" t="str">
        <f ca="1">INDEX(INDIRECT($K$1&amp;":"&amp;$K$2),C16,4)</f>
        <v>Y</v>
      </c>
    </row>
    <row r="17" spans="1:8">
      <c r="A17" s="183"/>
      <c r="B17" s="183"/>
      <c r="C17" s="9">
        <f t="shared" si="3"/>
        <v>15</v>
      </c>
      <c r="D17" s="9">
        <f t="shared" si="3"/>
        <v>3</v>
      </c>
      <c r="E17" s="189" t="str">
        <f t="shared" ca="1" si="2"/>
        <v>Not installed</v>
      </c>
      <c r="F17" s="9" t="str">
        <f ca="1">INDEX(INDIRECT($K$1&amp;":"&amp;$K$2),C17,2)</f>
        <v>X</v>
      </c>
      <c r="G17" s="192">
        <f ca="1">INDEX(INDIRECT($K$1&amp;":"&amp;$K$2),C17,3)</f>
        <v>0</v>
      </c>
      <c r="H17" s="193" t="str">
        <f ca="1">INDEX(INDIRECT($K$1&amp;":"&amp;$K$2),C17,4)</f>
        <v>Y</v>
      </c>
    </row>
    <row r="18" spans="1:8">
      <c r="A18" s="258"/>
      <c r="B18" s="258"/>
      <c r="C18" s="9"/>
      <c r="D18" s="9"/>
      <c r="E18" s="189"/>
      <c r="F18" s="9"/>
      <c r="G18" s="192"/>
      <c r="H18" s="193"/>
    </row>
    <row r="19" spans="1:8">
      <c r="A19" s="183"/>
      <c r="B19" s="183"/>
      <c r="C19" s="9"/>
      <c r="D19" s="9"/>
      <c r="E19" s="189"/>
      <c r="F19" s="9"/>
      <c r="G19" s="192"/>
      <c r="H19" s="193"/>
    </row>
    <row r="20" spans="1:8">
      <c r="A20" s="184">
        <v>4</v>
      </c>
      <c r="B20" s="197" t="str">
        <f>INDEX('Date Drivers'!$A$1:$B$381,Database_configurator!C21,2)</f>
        <v>Mounting Options</v>
      </c>
      <c r="C20" s="186"/>
      <c r="D20" s="187">
        <v>1</v>
      </c>
      <c r="E20" s="188" t="str">
        <f ca="1">VLOOKUP(D20,D21:F21,2,FALSE)</f>
        <v>19” Rack Mount / Rear Mount</v>
      </c>
      <c r="F20" s="187" t="str">
        <f ca="1">VLOOKUP(D20,D21:F21,3,FALSE)</f>
        <v>P</v>
      </c>
      <c r="G20" s="187">
        <f ca="1">VLOOKUP(D20,D21:H21,4,FALSE)</f>
        <v>0</v>
      </c>
      <c r="H20" s="187" t="str">
        <f ca="1">VLOOKUP(D20,D21:H21,5,FALSE)</f>
        <v>Y</v>
      </c>
    </row>
    <row r="21" spans="1:8">
      <c r="A21" s="183"/>
      <c r="B21" s="183"/>
      <c r="C21" s="198">
        <f>MATCH(A20,'Date Drivers'!$A$1:$A$381,0)</f>
        <v>18</v>
      </c>
      <c r="D21" s="9">
        <v>1</v>
      </c>
      <c r="E21" s="189" t="str">
        <f ca="1">INDEX(INDIRECT($K$1&amp;":"&amp;$K$2),C21,1)</f>
        <v>19” Rack Mount / Rear Mount</v>
      </c>
      <c r="F21" s="9" t="str">
        <f ca="1">INDEX(INDIRECT($K$1&amp;":"&amp;$K$2),C21,2)</f>
        <v>P</v>
      </c>
      <c r="G21" s="190">
        <f ca="1">INDEX(INDIRECT($K$1&amp;":"&amp;$K$2),C21,3)</f>
        <v>0</v>
      </c>
      <c r="H21" s="191" t="str">
        <f ca="1">INDEX(INDIRECT($K$1&amp;":"&amp;$K$2),C21,4)</f>
        <v>Y</v>
      </c>
    </row>
    <row r="22" spans="1:8">
      <c r="A22" s="183"/>
      <c r="B22" s="183"/>
      <c r="C22" s="9"/>
      <c r="D22" s="9"/>
      <c r="E22" s="189"/>
      <c r="F22" s="9"/>
      <c r="G22" s="192"/>
      <c r="H22" s="193"/>
    </row>
    <row r="23" spans="1:8">
      <c r="A23" s="184">
        <v>5</v>
      </c>
      <c r="B23" s="185" t="str">
        <f>INDEX('Date Drivers'!$A$1:$B$381,Database_configurator!C24,2)</f>
        <v>Software Functionality (Licensing)</v>
      </c>
      <c r="C23" s="186"/>
      <c r="D23" s="187">
        <v>1</v>
      </c>
      <c r="E23" s="188" t="str">
        <f ca="1">VLOOKUP(D23,D24:F25,2,FALSE)</f>
        <v>Standard Layer 2 packet switching (MAC Based)</v>
      </c>
      <c r="F23" s="187">
        <f ca="1">VLOOKUP(D23,D24:F25,3,FALSE)</f>
        <v>2</v>
      </c>
      <c r="G23" s="187">
        <f ca="1">VLOOKUP(D23,D24:H25,4,FALSE)</f>
        <v>0</v>
      </c>
      <c r="H23" s="187" t="str">
        <f ca="1">VLOOKUP(D23,D24:H25,5,FALSE)</f>
        <v>Y</v>
      </c>
    </row>
    <row r="24" spans="1:8">
      <c r="A24" s="183"/>
      <c r="B24" s="183"/>
      <c r="C24" s="9">
        <f>MATCH(A23,'Date Drivers'!$A$1:$A$381,0)</f>
        <v>20</v>
      </c>
      <c r="D24" s="9">
        <v>1</v>
      </c>
      <c r="E24" s="189" t="str">
        <f ca="1">INDEX(INDIRECT($K$1&amp;":"&amp;$K$2),C24,1)</f>
        <v>Standard Layer 2 packet switching (MAC Based)</v>
      </c>
      <c r="F24" s="9">
        <f ca="1">INDEX(INDIRECT($K$1&amp;":"&amp;$K$2),C24,2)</f>
        <v>2</v>
      </c>
      <c r="G24" s="190">
        <f ca="1">INDEX(INDIRECT($K$1&amp;":"&amp;$K$2),C24,3)</f>
        <v>0</v>
      </c>
      <c r="H24" s="191" t="str">
        <f ca="1">INDEX(INDIRECT($K$1&amp;":"&amp;$K$2),C24,4)</f>
        <v>Y</v>
      </c>
    </row>
    <row r="25" spans="1:8">
      <c r="A25" s="183"/>
      <c r="B25" s="183"/>
      <c r="C25" s="9">
        <f>C24+1</f>
        <v>21</v>
      </c>
      <c r="D25" s="9">
        <f t="shared" ref="D25" si="4">D24+1</f>
        <v>2</v>
      </c>
      <c r="E25" s="189" t="str">
        <f ca="1">INDEX(INDIRECT($K$1&amp;":"&amp;$K$2),C25,1)</f>
        <v>Advanced Layer 2 and Layer 3 packet switching (MAC Based and IP Based)</v>
      </c>
      <c r="F25" s="9">
        <f ca="1">INDEX(INDIRECT($K$1&amp;":"&amp;$K$2),C25,2)</f>
        <v>3</v>
      </c>
      <c r="G25" s="192">
        <f ca="1">INDEX(INDIRECT($K$1&amp;":"&amp;$K$2),C25,3)</f>
        <v>0</v>
      </c>
      <c r="H25" s="193" t="str">
        <f ca="1">INDEX(INDIRECT($K$1&amp;":"&amp;$K$2),C25,4)</f>
        <v>Y</v>
      </c>
    </row>
    <row r="26" spans="1:8">
      <c r="A26" s="183"/>
      <c r="B26" s="183"/>
      <c r="C26" s="9"/>
      <c r="D26" s="9"/>
      <c r="E26" s="189"/>
      <c r="F26" s="9"/>
      <c r="G26" s="192"/>
      <c r="H26" s="193"/>
    </row>
    <row r="27" spans="1:8">
      <c r="A27" s="184">
        <v>6</v>
      </c>
      <c r="B27" s="185" t="str">
        <f>INDEX('Date Drivers'!$A$1:$B$381,Database_configurator!C28,2)</f>
        <v>PTP Support (Licensing)</v>
      </c>
      <c r="C27" s="186"/>
      <c r="D27" s="187">
        <v>1</v>
      </c>
      <c r="E27" s="188" t="str">
        <f ca="1">VLOOKUP(D27,D28:F29,2,FALSE)</f>
        <v>With PTP (IEEE 1588v2) support</v>
      </c>
      <c r="F27" s="187" t="str">
        <f ca="1">VLOOKUP(D27,D28:F29,3,FALSE)</f>
        <v>P</v>
      </c>
      <c r="G27" s="187">
        <f ca="1">VLOOKUP(D27,D28:H29,4,FALSE)</f>
        <v>0</v>
      </c>
      <c r="H27" s="187" t="str">
        <f ca="1">VLOOKUP(D27,D28:H29,5,FALSE)</f>
        <v>Y</v>
      </c>
    </row>
    <row r="28" spans="1:8">
      <c r="A28" s="183"/>
      <c r="B28" s="183"/>
      <c r="C28" s="9">
        <f>MATCH(A27,'Date Drivers'!$A$1:$A$381,0)</f>
        <v>23</v>
      </c>
      <c r="D28" s="9">
        <v>1</v>
      </c>
      <c r="E28" s="189" t="str">
        <f ca="1">INDEX(INDIRECT($K$1&amp;":"&amp;$K$2),C28,1)</f>
        <v>With PTP (IEEE 1588v2) support</v>
      </c>
      <c r="F28" s="9" t="str">
        <f ca="1">INDEX(INDIRECT($K$1&amp;":"&amp;$K$2),C28,2)</f>
        <v>P</v>
      </c>
      <c r="G28" s="190">
        <f ca="1">INDEX(INDIRECT($K$1&amp;":"&amp;$K$2),C28,3)</f>
        <v>0</v>
      </c>
      <c r="H28" s="191" t="str">
        <f ca="1">INDEX(INDIRECT($K$1&amp;":"&amp;$K$2),C28,4)</f>
        <v>Y</v>
      </c>
    </row>
    <row r="29" spans="1:8">
      <c r="A29" s="183"/>
      <c r="B29" s="183"/>
      <c r="C29" s="9">
        <f>C28+1</f>
        <v>24</v>
      </c>
      <c r="D29" s="9">
        <f t="shared" ref="D29" si="5">D28+1</f>
        <v>2</v>
      </c>
      <c r="E29" s="189" t="str">
        <f ca="1">INDEX(INDIRECT($K$1&amp;":"&amp;$K$2),C29,1)</f>
        <v>Without PTP (IEEE 1588v2) support</v>
      </c>
      <c r="F29" s="9" t="str">
        <f ca="1">INDEX(INDIRECT($K$1&amp;":"&amp;$K$2),C29,2)</f>
        <v>X</v>
      </c>
      <c r="G29" s="192">
        <f ca="1">INDEX(INDIRECT($K$1&amp;":"&amp;$K$2),C29,3)</f>
        <v>0</v>
      </c>
      <c r="H29" s="193" t="str">
        <f ca="1">INDEX(INDIRECT($K$1&amp;":"&amp;$K$2),C29,4)</f>
        <v>Y</v>
      </c>
    </row>
    <row r="30" spans="1:8">
      <c r="A30" s="183"/>
      <c r="B30" s="183"/>
      <c r="C30" s="9"/>
      <c r="D30" s="9"/>
      <c r="E30" s="189"/>
      <c r="F30" s="9"/>
      <c r="G30" s="192"/>
      <c r="H30" s="193"/>
    </row>
    <row r="31" spans="1:8" ht="23">
      <c r="A31" s="184">
        <v>7</v>
      </c>
      <c r="B31" s="197" t="str">
        <f>INDEX('Date Drivers'!$A$1:$B$381,Database_configurator!C32,2)</f>
        <v>Interface Module 1</v>
      </c>
      <c r="C31" s="186"/>
      <c r="D31" s="187">
        <v>1</v>
      </c>
      <c r="E31" s="188" t="str">
        <f ca="1">VLOOKUP(D31,D32:F44,2,FALSE)</f>
        <v>Four 1 Gbps RJ45 copper 10/100BASE-TX/1000BASE-T Ethernet ports</v>
      </c>
      <c r="F31" s="187" t="str">
        <f ca="1">VLOOKUP(D31,D32:F44,3,FALSE)</f>
        <v>A</v>
      </c>
      <c r="G31" s="187">
        <f ca="1">VLOOKUP(D31,D32:H44,4,FALSE)</f>
        <v>0</v>
      </c>
      <c r="H31" s="187" t="str">
        <f ca="1">VLOOKUP(D31,D32:H44,5,FALSE)</f>
        <v>Y</v>
      </c>
    </row>
    <row r="32" spans="1:8">
      <c r="A32" s="183"/>
      <c r="B32" s="183"/>
      <c r="C32" s="198">
        <f>MATCH(A31,'Date Drivers'!$A$1:$A$381,0)</f>
        <v>26</v>
      </c>
      <c r="D32" s="198">
        <v>1</v>
      </c>
      <c r="E32" s="199" t="str">
        <f ca="1">INDEX(INDIRECT($K$1&amp;":"&amp;$K$2),C32,1)</f>
        <v>Four 1 Gbps RJ45 copper 10/100BASE-TX/1000BASE-T Ethernet ports</v>
      </c>
      <c r="F32" s="198" t="str">
        <f ca="1">INDEX(INDIRECT($K$1&amp;":"&amp;$K$2),C32,2)</f>
        <v>A</v>
      </c>
      <c r="G32" s="190">
        <f ca="1">INDEX(INDIRECT($K$1&amp;":"&amp;$K$2),C32,3)</f>
        <v>0</v>
      </c>
      <c r="H32" s="191" t="str">
        <f ca="1">INDEX(INDIRECT($K$1&amp;":"&amp;$K$2),C32,4)</f>
        <v>Y</v>
      </c>
    </row>
    <row r="33" spans="1:8">
      <c r="A33" s="183"/>
      <c r="B33" s="183"/>
      <c r="C33" s="9">
        <f>C32+1</f>
        <v>27</v>
      </c>
      <c r="D33" s="9">
        <f t="shared" ref="C33:D35" si="6">D32+1</f>
        <v>2</v>
      </c>
      <c r="E33" s="189" t="str">
        <f ca="1">CONCATENATE(INDEX(INDIRECT($K$1&amp;":"&amp;$K$2),C33,1)," ",HLOOKUP(Language!$C$3,Language!$E$1:$Z480,68,FALSE))</f>
        <v>Four slots for SFP transceivers (up to 1 Gbps)</v>
      </c>
      <c r="F33" s="9" t="str">
        <f t="shared" ref="F33:F43" ca="1" si="7">INDEX(INDIRECT($K$1&amp;":"&amp;$K$2),C33,2)</f>
        <v>B</v>
      </c>
      <c r="G33" s="192">
        <f t="shared" ref="G33:G43" ca="1" si="8">INDEX(INDIRECT($K$1&amp;":"&amp;$K$2),C33,3)</f>
        <v>0</v>
      </c>
      <c r="H33" s="193" t="str">
        <f t="shared" ref="H33:H43" ca="1" si="9">INDEX(INDIRECT($K$1&amp;":"&amp;$K$2),C33,4)</f>
        <v>Y</v>
      </c>
    </row>
    <row r="34" spans="1:8">
      <c r="A34" s="183"/>
      <c r="B34" s="183"/>
      <c r="C34" s="9">
        <f t="shared" si="6"/>
        <v>28</v>
      </c>
      <c r="D34" s="9">
        <f t="shared" si="6"/>
        <v>3</v>
      </c>
      <c r="E34" s="189" t="str">
        <f t="shared" ref="E34:E43" ca="1" si="10">INDEX(INDIRECT($K$1&amp;":"&amp;$K$2),C34,1)</f>
        <v>Four 1 Gbps LC-type SFP transceivers multi mode fiber 1000BASE-SX Ethernet for up to 0.5 km</v>
      </c>
      <c r="F34" s="9" t="str">
        <f t="shared" ca="1" si="7"/>
        <v>C</v>
      </c>
      <c r="G34" s="192">
        <f t="shared" ca="1" si="8"/>
        <v>0</v>
      </c>
      <c r="H34" s="193" t="str">
        <f t="shared" ca="1" si="9"/>
        <v>Y</v>
      </c>
    </row>
    <row r="35" spans="1:8">
      <c r="B35" s="183"/>
      <c r="C35" s="9">
        <f t="shared" si="6"/>
        <v>29</v>
      </c>
      <c r="D35" s="9">
        <f t="shared" si="6"/>
        <v>4</v>
      </c>
      <c r="E35" s="189" t="str">
        <f t="shared" ca="1" si="10"/>
        <v>Four 1 Gbps LC-type SFP transceivers single mode fiber 1000BASE-LX Ethernet for up to 20 km</v>
      </c>
      <c r="F35" s="9" t="str">
        <f t="shared" ca="1" si="7"/>
        <v>D</v>
      </c>
      <c r="G35" s="192">
        <f t="shared" ca="1" si="8"/>
        <v>0</v>
      </c>
      <c r="H35" s="193" t="str">
        <f t="shared" ca="1" si="9"/>
        <v>Y</v>
      </c>
    </row>
    <row r="36" spans="1:8">
      <c r="B36" s="183"/>
      <c r="C36" s="9">
        <f t="shared" ref="C36:C43" si="11">C35+1</f>
        <v>30</v>
      </c>
      <c r="D36" s="9">
        <f t="shared" ref="D36:D43" si="12">D35+1</f>
        <v>5</v>
      </c>
      <c r="E36" s="189" t="str">
        <f t="shared" ca="1" si="10"/>
        <v>Four 1 Gbps LC-type SFP transceivers single mode fiber 1000BASE-ZX Ethernet for up to 40 km</v>
      </c>
      <c r="F36" s="9" t="str">
        <f t="shared" ca="1" si="7"/>
        <v>E</v>
      </c>
      <c r="G36" s="192">
        <f t="shared" ca="1" si="8"/>
        <v>0</v>
      </c>
      <c r="H36" s="193" t="str">
        <f t="shared" ca="1" si="9"/>
        <v>Y</v>
      </c>
    </row>
    <row r="37" spans="1:8">
      <c r="B37" s="183"/>
      <c r="C37" s="9">
        <f t="shared" si="11"/>
        <v>31</v>
      </c>
      <c r="D37" s="9">
        <f t="shared" si="12"/>
        <v>6</v>
      </c>
      <c r="E37" s="189" t="str">
        <f t="shared" ca="1" si="10"/>
        <v>Four 1 Gbps LC-type SFP transceivers single mode fiber 1000BASE-ZX Ethernet for up to 80 km</v>
      </c>
      <c r="F37" s="9" t="str">
        <f t="shared" ca="1" si="7"/>
        <v>F</v>
      </c>
      <c r="G37" s="192">
        <f t="shared" ca="1" si="8"/>
        <v>0</v>
      </c>
      <c r="H37" s="193" t="str">
        <f t="shared" ca="1" si="9"/>
        <v>Y</v>
      </c>
    </row>
    <row r="38" spans="1:8">
      <c r="B38" s="183"/>
      <c r="C38" s="9">
        <f t="shared" si="11"/>
        <v>32</v>
      </c>
      <c r="D38" s="9">
        <f t="shared" si="12"/>
        <v>7</v>
      </c>
      <c r="E38" s="189" t="str">
        <f t="shared" ca="1" si="10"/>
        <v>Four 100 Mbps LC-type SFP transceivers multi mode fiber 100BASE-FX Ethernet for up to 2 km</v>
      </c>
      <c r="F38" s="9" t="str">
        <f t="shared" ca="1" si="7"/>
        <v>H</v>
      </c>
      <c r="G38" s="192">
        <f t="shared" ca="1" si="8"/>
        <v>0</v>
      </c>
      <c r="H38" s="193" t="str">
        <f t="shared" ca="1" si="9"/>
        <v>Y</v>
      </c>
    </row>
    <row r="39" spans="1:8">
      <c r="B39" s="183"/>
      <c r="C39" s="9">
        <f t="shared" si="11"/>
        <v>33</v>
      </c>
      <c r="D39" s="9">
        <f t="shared" si="12"/>
        <v>8</v>
      </c>
      <c r="E39" s="189" t="str">
        <f ca="1">INDEX(INDIRECT($K$1&amp;":"&amp;$K$2),C39,1)</f>
        <v>Four RJ45 copper 10/100BASE-TX</v>
      </c>
      <c r="F39" s="9" t="str">
        <f t="shared" ca="1" si="7"/>
        <v>I</v>
      </c>
      <c r="G39" s="192">
        <f t="shared" ca="1" si="8"/>
        <v>0</v>
      </c>
      <c r="H39" s="193" t="str">
        <f t="shared" ca="1" si="9"/>
        <v>Y</v>
      </c>
    </row>
    <row r="40" spans="1:8">
      <c r="B40" s="183"/>
      <c r="C40" s="9">
        <f t="shared" si="11"/>
        <v>34</v>
      </c>
      <c r="D40" s="9">
        <f t="shared" si="12"/>
        <v>9</v>
      </c>
      <c r="E40" s="189" t="str">
        <f t="shared" ca="1" si="10"/>
        <v>Four 1 Gbps RJ45 SFP transceivers Ethernet 10/100BASE-TX/1000BASE-T</v>
      </c>
      <c r="F40" s="9" t="str">
        <f t="shared" ca="1" si="7"/>
        <v>J</v>
      </c>
      <c r="G40" s="192">
        <f t="shared" ca="1" si="8"/>
        <v>0</v>
      </c>
      <c r="H40" s="193" t="str">
        <f t="shared" ca="1" si="9"/>
        <v>Y</v>
      </c>
    </row>
    <row r="41" spans="1:8" ht="23">
      <c r="B41" s="183"/>
      <c r="C41" s="9">
        <f t="shared" si="11"/>
        <v>35</v>
      </c>
      <c r="D41" s="9">
        <f t="shared" si="12"/>
        <v>10</v>
      </c>
      <c r="E41" s="189" t="str">
        <f t="shared" ca="1" si="10"/>
        <v>Two 1 Gbps RJ45 SFP transceivers 10/100BASE-TX/1000BASE-T Ethernet ports + Two 1 Gbps LC-type SFP transceivers multi mode fiber 1000BASE-SX Ethernet for up to 0.5 km</v>
      </c>
      <c r="F41" s="9" t="str">
        <f t="shared" ca="1" si="7"/>
        <v>K</v>
      </c>
      <c r="G41" s="192">
        <f t="shared" ca="1" si="8"/>
        <v>0</v>
      </c>
      <c r="H41" s="193" t="str">
        <f t="shared" ca="1" si="9"/>
        <v>Y</v>
      </c>
    </row>
    <row r="42" spans="1:8" ht="23">
      <c r="B42" s="183"/>
      <c r="C42" s="9">
        <f t="shared" si="11"/>
        <v>36</v>
      </c>
      <c r="D42" s="9">
        <f t="shared" si="12"/>
        <v>11</v>
      </c>
      <c r="E42" s="189" t="str">
        <f t="shared" ca="1" si="10"/>
        <v>Two 1 Gbps RJ45 SFP transceivers 10/100BASE-TX/1000BASE-T Ethernet ports + Two 100 Mbps LC-type SFP transceivers multi mode fiber 100BASE-FX Ethernet for up to 2 km</v>
      </c>
      <c r="F42" s="9" t="str">
        <f t="shared" ca="1" si="7"/>
        <v>L</v>
      </c>
      <c r="G42" s="192">
        <f t="shared" ca="1" si="8"/>
        <v>0</v>
      </c>
      <c r="H42" s="193" t="str">
        <f t="shared" ca="1" si="9"/>
        <v>Y</v>
      </c>
    </row>
    <row r="43" spans="1:8" ht="23">
      <c r="B43" s="183"/>
      <c r="C43" s="9">
        <f t="shared" si="11"/>
        <v>37</v>
      </c>
      <c r="D43" s="9">
        <f t="shared" si="12"/>
        <v>12</v>
      </c>
      <c r="E43" s="189" t="str">
        <f t="shared" ca="1" si="10"/>
        <v>Two 1 Gbps LC-type SFP transceivers multi mode fiber 1000BASE-SX Ethernet for up to 0.5 km + Two 100 Mbps LC-type SFP transceivers multi mode fiber 100BASE-FX Ethernet for up to 2 km</v>
      </c>
      <c r="F43" s="9" t="str">
        <f t="shared" ca="1" si="7"/>
        <v>M</v>
      </c>
      <c r="G43" s="192">
        <f t="shared" ca="1" si="8"/>
        <v>0</v>
      </c>
      <c r="H43" s="193" t="str">
        <f t="shared" ca="1" si="9"/>
        <v>Y</v>
      </c>
    </row>
    <row r="44" spans="1:8">
      <c r="B44" s="183"/>
      <c r="C44" s="9"/>
      <c r="D44" s="9"/>
      <c r="E44" s="189"/>
      <c r="F44" s="9"/>
      <c r="G44" s="192"/>
      <c r="H44" s="193"/>
    </row>
    <row r="45" spans="1:8">
      <c r="C45" s="11"/>
      <c r="D45" s="11"/>
      <c r="E45" s="200"/>
      <c r="F45" s="11"/>
      <c r="G45" s="195"/>
      <c r="H45" s="196"/>
    </row>
    <row r="46" spans="1:8">
      <c r="A46" s="184">
        <v>8</v>
      </c>
      <c r="B46" s="197" t="str">
        <f>INDEX('Date Drivers'!$A$1:$B$381,Database_configurator!C47,2)</f>
        <v>Interface Module 2</v>
      </c>
      <c r="C46" s="186"/>
      <c r="D46" s="187">
        <v>2</v>
      </c>
      <c r="E46" s="188" t="str">
        <f ca="1">IF(OR($F$5=24,D46=2,D46=7,D46=8,D46=10),VLOOKUP(D46,D47:F56,2,FALSE),E56)</f>
        <v>Four slots for SFP transceivers (up to 1 Gbps)</v>
      </c>
      <c r="F46" s="187" t="str">
        <f ca="1">IF(OR($F$5=24,D46=2,D46=7,D46=8,D46=10),VLOOKUP(D46,D47:F56,3,FALSE),F56)</f>
        <v>B</v>
      </c>
      <c r="G46" s="187">
        <f ca="1">VLOOKUP(D46,D47:H56,4,FALSE)</f>
        <v>0</v>
      </c>
      <c r="H46" s="187" t="str">
        <f ca="1">VLOOKUP(D46,D47:H56,5,FALSE)</f>
        <v>Y</v>
      </c>
    </row>
    <row r="47" spans="1:8">
      <c r="A47" s="183"/>
      <c r="B47" s="183"/>
      <c r="C47" s="198">
        <f>MATCH(A46,'Date Drivers'!$A$1:$A$381,0)</f>
        <v>42</v>
      </c>
      <c r="D47" s="198">
        <v>1</v>
      </c>
      <c r="E47" s="189" t="str">
        <f ca="1">IF(Database_configurator!$F$5=24,INDEX(INDIRECT($K$1&amp;":"&amp;$K$2),C47,1)," ")</f>
        <v>Four 1 Gbps RJ45 copper 10/100BASE-TX/1000BASE-T Ethernet ports</v>
      </c>
      <c r="F47" s="198" t="str">
        <f t="shared" ref="F47:F56" ca="1" si="13">INDEX(INDIRECT($K$1&amp;":"&amp;$K$2),C47,2)</f>
        <v>A</v>
      </c>
      <c r="G47" s="190">
        <f t="shared" ref="G47:G56" ca="1" si="14">INDEX(INDIRECT($K$1&amp;":"&amp;$K$2),C47,3)</f>
        <v>0</v>
      </c>
      <c r="H47" s="191" t="str">
        <f t="shared" ref="H47:H56" ca="1" si="15">INDEX(INDIRECT($K$1&amp;":"&amp;$K$2),C47,4)</f>
        <v>Y</v>
      </c>
    </row>
    <row r="48" spans="1:8">
      <c r="B48" s="183"/>
      <c r="C48" s="9">
        <f t="shared" ref="C48:C56" si="16">C47+1</f>
        <v>43</v>
      </c>
      <c r="D48" s="9">
        <f t="shared" ref="D48:D54" si="17">D47+1</f>
        <v>2</v>
      </c>
      <c r="E48" s="189" t="str">
        <f ca="1">CONCATENATE(INDEX(INDIRECT($K$1&amp;":"&amp;$K$2),C48,1)," ",IF(Database_configurator!$F$5=24,HLOOKUP(Language!$C$3,Language!$E$1:$Z495,68,FALSE),HLOOKUP(Language!$C$3,Language!$E$1:$Z495,67,FALSE)))</f>
        <v>Four slots for SFP transceivers (up to 1 Gbps)</v>
      </c>
      <c r="F48" s="9" t="str">
        <f t="shared" ca="1" si="13"/>
        <v>B</v>
      </c>
      <c r="G48" s="192">
        <f t="shared" ca="1" si="14"/>
        <v>0</v>
      </c>
      <c r="H48" s="193" t="str">
        <f t="shared" ca="1" si="15"/>
        <v>Y</v>
      </c>
    </row>
    <row r="49" spans="1:8">
      <c r="B49" s="183"/>
      <c r="C49" s="9">
        <f t="shared" si="16"/>
        <v>44</v>
      </c>
      <c r="D49" s="9">
        <f t="shared" si="17"/>
        <v>3</v>
      </c>
      <c r="E49" s="189" t="str">
        <f ca="1">IF(Database_configurator!$F$5=24,INDEX(INDIRECT($K$1&amp;":"&amp;$K$2),C49,1)," ")</f>
        <v>Four 1 Gbps LC-type SFP transceivers multi mode fiber 1000BASE-SX Ethernet for up to 0.5 km</v>
      </c>
      <c r="F49" s="9" t="str">
        <f t="shared" ca="1" si="13"/>
        <v>C</v>
      </c>
      <c r="G49" s="192">
        <f t="shared" ca="1" si="14"/>
        <v>0</v>
      </c>
      <c r="H49" s="193" t="str">
        <f t="shared" ca="1" si="15"/>
        <v>Y</v>
      </c>
    </row>
    <row r="50" spans="1:8">
      <c r="B50" s="183"/>
      <c r="C50" s="9">
        <f t="shared" si="16"/>
        <v>45</v>
      </c>
      <c r="D50" s="9">
        <f t="shared" si="17"/>
        <v>4</v>
      </c>
      <c r="E50" s="189" t="str">
        <f ca="1">IF(Database_configurator!$F$5=24,INDEX(INDIRECT($K$1&amp;":"&amp;$K$2),C50,1)," ")</f>
        <v>Four 1 Gbps LC-type SFP transceivers single mode fiber 1000BASE-LX Ethernet for up to 20 km</v>
      </c>
      <c r="F50" s="9" t="str">
        <f t="shared" ca="1" si="13"/>
        <v>D</v>
      </c>
      <c r="G50" s="192">
        <f t="shared" ca="1" si="14"/>
        <v>0</v>
      </c>
      <c r="H50" s="193" t="str">
        <f t="shared" ca="1" si="15"/>
        <v>Y</v>
      </c>
    </row>
    <row r="51" spans="1:8">
      <c r="B51" s="183"/>
      <c r="C51" s="9">
        <f t="shared" si="16"/>
        <v>46</v>
      </c>
      <c r="D51" s="9">
        <f t="shared" si="17"/>
        <v>5</v>
      </c>
      <c r="E51" s="189" t="str">
        <f ca="1">IF(Database_configurator!$F$5=24,INDEX(INDIRECT($K$1&amp;":"&amp;$K$2),C51,1)," ")</f>
        <v>Four 1 Gbps LC-type SFP transceivers single mode fiber 1000BASE-ZX Ethernet for up to 40 km</v>
      </c>
      <c r="F51" s="9" t="str">
        <f t="shared" ca="1" si="13"/>
        <v>E</v>
      </c>
      <c r="G51" s="192">
        <f t="shared" ca="1" si="14"/>
        <v>0</v>
      </c>
      <c r="H51" s="193" t="str">
        <f t="shared" ca="1" si="15"/>
        <v>Y</v>
      </c>
    </row>
    <row r="52" spans="1:8">
      <c r="B52" s="183"/>
      <c r="C52" s="9">
        <f t="shared" si="16"/>
        <v>47</v>
      </c>
      <c r="D52" s="9">
        <f t="shared" si="17"/>
        <v>6</v>
      </c>
      <c r="E52" s="189" t="str">
        <f ca="1">IF(Database_configurator!$F$5=24,INDEX(INDIRECT($K$1&amp;":"&amp;$K$2),C52,1)," ")</f>
        <v>Four 1 Gbps LC-type SFP transceivers single mode fiber 1000BASE-ZX Ethernet for up to 80 km</v>
      </c>
      <c r="F52" s="9" t="str">
        <f t="shared" ca="1" si="13"/>
        <v>F</v>
      </c>
      <c r="G52" s="192">
        <f t="shared" ca="1" si="14"/>
        <v>0</v>
      </c>
      <c r="H52" s="193" t="str">
        <f t="shared" ca="1" si="15"/>
        <v>Y</v>
      </c>
    </row>
    <row r="53" spans="1:8">
      <c r="B53" s="183"/>
      <c r="C53" s="9">
        <f t="shared" si="16"/>
        <v>48</v>
      </c>
      <c r="D53" s="9">
        <f t="shared" si="17"/>
        <v>7</v>
      </c>
      <c r="E53" s="189" t="str">
        <f t="shared" ref="E53" ca="1" si="18">INDEX(INDIRECT($K$1&amp;":"&amp;$K$2),C53,1)</f>
        <v>Four 100 Mbps LC-type SFP transceivers multi mode fiber 100BASE-FX Ethernet for up to 2 km</v>
      </c>
      <c r="F53" s="9" t="str">
        <f t="shared" ca="1" si="13"/>
        <v>H</v>
      </c>
      <c r="G53" s="192">
        <f t="shared" ca="1" si="14"/>
        <v>0</v>
      </c>
      <c r="H53" s="193" t="str">
        <f t="shared" ca="1" si="15"/>
        <v>Y</v>
      </c>
    </row>
    <row r="54" spans="1:8">
      <c r="B54" s="183"/>
      <c r="C54" s="9">
        <f t="shared" si="16"/>
        <v>49</v>
      </c>
      <c r="D54" s="9">
        <f t="shared" si="17"/>
        <v>8</v>
      </c>
      <c r="E54" s="189" t="str">
        <f t="shared" ref="E54:E56" ca="1" si="19">INDEX(INDIRECT($K$1&amp;":"&amp;$K$2),C54,1)</f>
        <v>Four RJ45 copper 10/100BASE-TX</v>
      </c>
      <c r="F54" s="9" t="str">
        <f t="shared" ca="1" si="13"/>
        <v>I</v>
      </c>
      <c r="G54" s="192">
        <f t="shared" ca="1" si="14"/>
        <v>0</v>
      </c>
      <c r="H54" s="193" t="str">
        <f t="shared" ca="1" si="15"/>
        <v>Y</v>
      </c>
    </row>
    <row r="55" spans="1:8">
      <c r="B55" s="183"/>
      <c r="C55" s="9">
        <f t="shared" si="16"/>
        <v>50</v>
      </c>
      <c r="D55" s="9">
        <f>D54+1</f>
        <v>9</v>
      </c>
      <c r="E55" s="189" t="str">
        <f ca="1">IF(Database_configurator!$F$5=24,INDEX(INDIRECT($K$1&amp;":"&amp;$K$2),C55,1)," ")</f>
        <v>Four 1 Gbps RJ45 SFP transceivers Ethernet 10/100BASE-TX/1000BASE-T</v>
      </c>
      <c r="F55" s="9" t="str">
        <f t="shared" ca="1" si="13"/>
        <v>J</v>
      </c>
      <c r="G55" s="192">
        <f t="shared" ca="1" si="14"/>
        <v>0</v>
      </c>
      <c r="H55" s="193" t="str">
        <f t="shared" ca="1" si="15"/>
        <v>Y</v>
      </c>
    </row>
    <row r="56" spans="1:8">
      <c r="B56" s="183"/>
      <c r="C56" s="9">
        <f t="shared" si="16"/>
        <v>51</v>
      </c>
      <c r="D56" s="9">
        <f>D55+1</f>
        <v>10</v>
      </c>
      <c r="E56" s="189" t="str">
        <f t="shared" ca="1" si="19"/>
        <v>Not installed</v>
      </c>
      <c r="F56" s="9" t="str">
        <f t="shared" ca="1" si="13"/>
        <v>X</v>
      </c>
      <c r="G56" s="192">
        <f t="shared" ca="1" si="14"/>
        <v>0</v>
      </c>
      <c r="H56" s="193" t="str">
        <f t="shared" ca="1" si="15"/>
        <v>Y</v>
      </c>
    </row>
    <row r="57" spans="1:8">
      <c r="B57" s="183"/>
      <c r="C57" s="9"/>
      <c r="D57" s="9"/>
      <c r="E57" s="189"/>
      <c r="F57" s="9"/>
      <c r="G57" s="195"/>
      <c r="H57" s="196"/>
    </row>
    <row r="58" spans="1:8">
      <c r="A58" s="184">
        <v>9</v>
      </c>
      <c r="B58" s="197" t="str">
        <f>INDEX('Date Drivers'!$A$1:$B$381,Database_configurator!C59,2)</f>
        <v>Interface Module 3</v>
      </c>
      <c r="C58" s="186"/>
      <c r="D58" s="187">
        <v>2</v>
      </c>
      <c r="E58" s="188" t="str">
        <f ca="1">IF(OR($F$5=24,D58=2,D58=7,D58=8,D58=10),VLOOKUP(D58,D59:F68,2,FALSE),E68)</f>
        <v>Four slots for SFP transceivers (up to 1 Gbps)</v>
      </c>
      <c r="F58" s="187" t="str">
        <f ca="1">IF(OR($F$5=24,D58=2,D58=7,D58=8,D58=10),VLOOKUP(D58,D59:F68,3,FALSE),F68)</f>
        <v>B</v>
      </c>
      <c r="G58" s="187">
        <f ca="1">VLOOKUP(D58,D59:H68,4,FALSE)</f>
        <v>0</v>
      </c>
      <c r="H58" s="187" t="str">
        <f ca="1">VLOOKUP(D58,D59:H68,5,FALSE)</f>
        <v>Y</v>
      </c>
    </row>
    <row r="59" spans="1:8">
      <c r="A59" s="183"/>
      <c r="B59" s="183"/>
      <c r="C59" s="198">
        <f>MATCH(A58,'Date Drivers'!$A$1:$A$381,0)</f>
        <v>53</v>
      </c>
      <c r="D59" s="1">
        <v>1</v>
      </c>
      <c r="E59" s="189" t="str">
        <f ca="1">IF(Database_configurator!$F$5=24,INDEX(INDIRECT($K$1&amp;":"&amp;$K$2),C59,1)," ")</f>
        <v>Four 1 Gbps RJ45 copper 10/100BASE-TX/1000BASE-T Ethernet ports</v>
      </c>
      <c r="F59" s="198" t="str">
        <f t="shared" ref="F59:F68" ca="1" si="20">INDEX(INDIRECT($K$1&amp;":"&amp;$K$2),C59,2)</f>
        <v>A</v>
      </c>
      <c r="G59" s="190">
        <f t="shared" ref="G59:G68" ca="1" si="21">INDEX(INDIRECT($K$1&amp;":"&amp;$K$2),C59,3)</f>
        <v>0</v>
      </c>
      <c r="H59" s="191" t="str">
        <f t="shared" ref="H59:H68" ca="1" si="22">INDEX(INDIRECT($K$1&amp;":"&amp;$K$2),C59,4)</f>
        <v>Y</v>
      </c>
    </row>
    <row r="60" spans="1:8">
      <c r="B60" s="183"/>
      <c r="C60" s="9">
        <f t="shared" ref="C60:C68" si="23">C59+1</f>
        <v>54</v>
      </c>
      <c r="D60" s="1">
        <f t="shared" ref="D60:D66" si="24">D59+1</f>
        <v>2</v>
      </c>
      <c r="E60" s="189" t="str">
        <f ca="1">CONCATENATE(INDEX(INDIRECT($K$1&amp;":"&amp;$K$2),C60,1)," ",IF(Database_configurator!$F$5=24,HLOOKUP(Language!$C$3,Language!$E$1:$Z507,68,FALSE),HLOOKUP(Language!$C$3,Language!$E$1:$Z507,67,FALSE)))</f>
        <v>Four slots for SFP transceivers (up to 1 Gbps)</v>
      </c>
      <c r="F60" s="9" t="str">
        <f t="shared" ca="1" si="20"/>
        <v>B</v>
      </c>
      <c r="G60" s="192">
        <f t="shared" ca="1" si="21"/>
        <v>0</v>
      </c>
      <c r="H60" s="193" t="str">
        <f t="shared" ca="1" si="22"/>
        <v>Y</v>
      </c>
    </row>
    <row r="61" spans="1:8">
      <c r="B61" s="183"/>
      <c r="C61" s="9">
        <f t="shared" si="23"/>
        <v>55</v>
      </c>
      <c r="D61" s="1">
        <f t="shared" si="24"/>
        <v>3</v>
      </c>
      <c r="E61" s="189" t="str">
        <f ca="1">IF(Database_configurator!$F$5=24,INDEX(INDIRECT($K$1&amp;":"&amp;$K$2),C61,1)," ")</f>
        <v>Four 1 Gbps LC-type SFP transceivers multi mode fiber 1000BASE-SX Ethernet for up to 0.5 km</v>
      </c>
      <c r="F61" s="9" t="str">
        <f t="shared" ca="1" si="20"/>
        <v>C</v>
      </c>
      <c r="G61" s="192">
        <f t="shared" ca="1" si="21"/>
        <v>0</v>
      </c>
      <c r="H61" s="193" t="str">
        <f t="shared" ca="1" si="22"/>
        <v>Y</v>
      </c>
    </row>
    <row r="62" spans="1:8">
      <c r="B62" s="183"/>
      <c r="C62" s="9">
        <f t="shared" si="23"/>
        <v>56</v>
      </c>
      <c r="D62" s="1">
        <f t="shared" si="24"/>
        <v>4</v>
      </c>
      <c r="E62" s="189" t="str">
        <f ca="1">IF(Database_configurator!$F$5=24,INDEX(INDIRECT($K$1&amp;":"&amp;$K$2),C62,1)," ")</f>
        <v>Four 1 Gbps LC-type SFP transceivers single mode fiber 1000BASE-LX Ethernet for up to 20 km</v>
      </c>
      <c r="F62" s="9" t="str">
        <f t="shared" ca="1" si="20"/>
        <v>D</v>
      </c>
      <c r="G62" s="192">
        <f t="shared" ca="1" si="21"/>
        <v>0</v>
      </c>
      <c r="H62" s="193" t="str">
        <f t="shared" ca="1" si="22"/>
        <v>Y</v>
      </c>
    </row>
    <row r="63" spans="1:8">
      <c r="B63" s="183"/>
      <c r="C63" s="9">
        <f t="shared" si="23"/>
        <v>57</v>
      </c>
      <c r="D63" s="1">
        <f t="shared" si="24"/>
        <v>5</v>
      </c>
      <c r="E63" s="189" t="str">
        <f ca="1">IF(Database_configurator!$F$5=24,INDEX(INDIRECT($K$1&amp;":"&amp;$K$2),C63,1)," ")</f>
        <v>Four 1 Gbps LC-type SFP transceivers single mode fiber 1000BASE-ZX Ethernet for up to 40 km</v>
      </c>
      <c r="F63" s="9" t="str">
        <f t="shared" ca="1" si="20"/>
        <v>E</v>
      </c>
      <c r="G63" s="192">
        <f t="shared" ca="1" si="21"/>
        <v>0</v>
      </c>
      <c r="H63" s="193" t="str">
        <f t="shared" ca="1" si="22"/>
        <v>Y</v>
      </c>
    </row>
    <row r="64" spans="1:8">
      <c r="B64" s="183"/>
      <c r="C64" s="9">
        <f t="shared" si="23"/>
        <v>58</v>
      </c>
      <c r="D64" s="1">
        <f t="shared" si="24"/>
        <v>6</v>
      </c>
      <c r="E64" s="189" t="str">
        <f ca="1">IF(Database_configurator!$F$5=24,INDEX(INDIRECT($K$1&amp;":"&amp;$K$2),C64,1)," ")</f>
        <v>Four 1 Gbps LC-type SFP transceivers single mode fiber 1000BASE-ZX Ethernet for up to 80 km</v>
      </c>
      <c r="F64" s="9" t="str">
        <f t="shared" ca="1" si="20"/>
        <v>F</v>
      </c>
      <c r="G64" s="192">
        <f t="shared" ca="1" si="21"/>
        <v>0</v>
      </c>
      <c r="H64" s="193" t="str">
        <f t="shared" ca="1" si="22"/>
        <v>Y</v>
      </c>
    </row>
    <row r="65" spans="1:8">
      <c r="B65" s="183"/>
      <c r="C65" s="9">
        <f t="shared" si="23"/>
        <v>59</v>
      </c>
      <c r="D65" s="1">
        <f t="shared" si="24"/>
        <v>7</v>
      </c>
      <c r="E65" s="189" t="str">
        <f t="shared" ref="E65:E68" ca="1" si="25">INDEX(INDIRECT($K$1&amp;":"&amp;$K$2),C65,1)</f>
        <v>Four 100 Mbps LC-type SFP transceivers multi mode fiber 100BASE-FX Ethernet for up to 2 km</v>
      </c>
      <c r="F65" s="9" t="str">
        <f t="shared" ca="1" si="20"/>
        <v>H</v>
      </c>
      <c r="G65" s="192">
        <f t="shared" ca="1" si="21"/>
        <v>0</v>
      </c>
      <c r="H65" s="193" t="str">
        <f t="shared" ca="1" si="22"/>
        <v>Y</v>
      </c>
    </row>
    <row r="66" spans="1:8">
      <c r="C66" s="9">
        <f t="shared" si="23"/>
        <v>60</v>
      </c>
      <c r="D66" s="1">
        <f t="shared" si="24"/>
        <v>8</v>
      </c>
      <c r="E66" s="189" t="str">
        <f t="shared" ca="1" si="25"/>
        <v>Four RJ45 copper 10/100BASE-TX</v>
      </c>
      <c r="F66" s="9" t="str">
        <f t="shared" ca="1" si="20"/>
        <v>I</v>
      </c>
      <c r="G66" s="192">
        <f t="shared" ca="1" si="21"/>
        <v>0</v>
      </c>
      <c r="H66" s="193" t="str">
        <f t="shared" ca="1" si="22"/>
        <v>Y</v>
      </c>
    </row>
    <row r="67" spans="1:8">
      <c r="C67" s="9">
        <f t="shared" si="23"/>
        <v>61</v>
      </c>
      <c r="D67" s="1">
        <f>D66+1</f>
        <v>9</v>
      </c>
      <c r="E67" s="189" t="str">
        <f ca="1">IF(Database_configurator!$F$5=24,INDEX(INDIRECT($K$1&amp;":"&amp;$K$2),C67,1)," ")</f>
        <v>Four 1 Gbps RJ45 SFP transceivers Ethernet 10/100BASE-TX/1000BASE-T</v>
      </c>
      <c r="F67" s="9" t="str">
        <f t="shared" ca="1" si="20"/>
        <v>J</v>
      </c>
      <c r="G67" s="192">
        <f t="shared" ca="1" si="21"/>
        <v>0</v>
      </c>
      <c r="H67" s="193" t="str">
        <f t="shared" ca="1" si="22"/>
        <v>Y</v>
      </c>
    </row>
    <row r="68" spans="1:8">
      <c r="C68" s="9">
        <f t="shared" si="23"/>
        <v>62</v>
      </c>
      <c r="D68" s="1">
        <f>D67+1</f>
        <v>10</v>
      </c>
      <c r="E68" s="189" t="str">
        <f t="shared" ca="1" si="25"/>
        <v>Not installed</v>
      </c>
      <c r="F68" s="9" t="str">
        <f t="shared" ca="1" si="20"/>
        <v>X</v>
      </c>
      <c r="G68" s="192">
        <f t="shared" ca="1" si="21"/>
        <v>0</v>
      </c>
      <c r="H68" s="193" t="str">
        <f t="shared" ca="1" si="22"/>
        <v>Y</v>
      </c>
    </row>
    <row r="69" spans="1:8">
      <c r="C69" s="11"/>
      <c r="E69" s="200"/>
      <c r="F69" s="11"/>
      <c r="G69" s="195"/>
      <c r="H69" s="196"/>
    </row>
    <row r="70" spans="1:8">
      <c r="A70" s="184">
        <v>10</v>
      </c>
      <c r="B70" s="197" t="str">
        <f>INDEX('Date Drivers'!$A$1:$B$381,Database_configurator!C71,2)</f>
        <v>Interface Module 4</v>
      </c>
      <c r="C70" s="186"/>
      <c r="D70" s="187">
        <v>2</v>
      </c>
      <c r="E70" s="188" t="str">
        <f ca="1">IF(OR($F$5=24,D70=2,D70=7,D70=8,D70=10),VLOOKUP(D70,D71:F80,2,FALSE),E80)</f>
        <v>Four slots for SFP transceivers (up to 1 Gbps)</v>
      </c>
      <c r="F70" s="187" t="str">
        <f ca="1">IF(OR($F$5=24,D70=2,D70=7,D70=8,D70=10),VLOOKUP(D70,D71:F80,3,FALSE),F80)</f>
        <v>B</v>
      </c>
      <c r="G70" s="187">
        <f ca="1">VLOOKUP(D70,D71:H80,4,FALSE)</f>
        <v>0</v>
      </c>
      <c r="H70" s="187" t="str">
        <f ca="1">VLOOKUP(D70,D71:H80,5,FALSE)</f>
        <v>Y</v>
      </c>
    </row>
    <row r="71" spans="1:8">
      <c r="A71" s="183"/>
      <c r="B71" s="183"/>
      <c r="C71" s="198">
        <f>MATCH(A70,'Date Drivers'!$A$1:$A$381,0)</f>
        <v>64</v>
      </c>
      <c r="D71" s="198">
        <v>1</v>
      </c>
      <c r="E71" s="189" t="str">
        <f ca="1">IF(Database_configurator!$F$5=24,INDEX(INDIRECT($K$1&amp;":"&amp;$K$2),C71,1)," ")</f>
        <v>Four 1 Gbps RJ45 copper 10/100BASE-TX/1000BASE-T Ethernet ports</v>
      </c>
      <c r="F71" s="198" t="str">
        <f t="shared" ref="F71:F80" ca="1" si="26">INDEX(INDIRECT($K$1&amp;":"&amp;$K$2),C71,2)</f>
        <v>A</v>
      </c>
      <c r="G71" s="190">
        <f t="shared" ref="G71:G80" ca="1" si="27">INDEX(INDIRECT($K$1&amp;":"&amp;$K$2),C71,3)</f>
        <v>0</v>
      </c>
      <c r="H71" s="191" t="str">
        <f t="shared" ref="H71:H80" ca="1" si="28">INDEX(INDIRECT($K$1&amp;":"&amp;$K$2),C71,4)</f>
        <v>Y</v>
      </c>
    </row>
    <row r="72" spans="1:8">
      <c r="B72" s="183"/>
      <c r="C72" s="9">
        <f t="shared" ref="C72:C80" si="29">C71+1</f>
        <v>65</v>
      </c>
      <c r="D72" s="1">
        <f t="shared" ref="D72:D78" si="30">D71+1</f>
        <v>2</v>
      </c>
      <c r="E72" s="189" t="str">
        <f ca="1">CONCATENATE(INDEX(INDIRECT($K$1&amp;":"&amp;$K$2),C72,1)," ",IF(Database_configurator!$F$5=24,HLOOKUP(Language!$C$3,Language!$E$1:$Z519,68,FALSE),HLOOKUP(Language!$C$3,Language!$E$1:$Z519,67,FALSE)))</f>
        <v>Four slots for SFP transceivers (up to 1 Gbps)</v>
      </c>
      <c r="F72" s="9" t="str">
        <f t="shared" ca="1" si="26"/>
        <v>B</v>
      </c>
      <c r="G72" s="192">
        <f t="shared" ca="1" si="27"/>
        <v>0</v>
      </c>
      <c r="H72" s="193" t="str">
        <f t="shared" ca="1" si="28"/>
        <v>Y</v>
      </c>
    </row>
    <row r="73" spans="1:8">
      <c r="B73" s="183"/>
      <c r="C73" s="9">
        <f t="shared" si="29"/>
        <v>66</v>
      </c>
      <c r="D73" s="1">
        <f t="shared" si="30"/>
        <v>3</v>
      </c>
      <c r="E73" s="189" t="str">
        <f ca="1">IF(Database_configurator!$F$5=24,INDEX(INDIRECT($K$1&amp;":"&amp;$K$2),C73,1)," ")</f>
        <v>Four 1 Gbps LC-type SFP transceivers multi mode fiber 1000BASE-SX Ethernet for up to 0.5 km</v>
      </c>
      <c r="F73" s="9" t="str">
        <f t="shared" ca="1" si="26"/>
        <v>C</v>
      </c>
      <c r="G73" s="192">
        <f t="shared" ca="1" si="27"/>
        <v>0</v>
      </c>
      <c r="H73" s="193" t="str">
        <f t="shared" ca="1" si="28"/>
        <v>Y</v>
      </c>
    </row>
    <row r="74" spans="1:8">
      <c r="B74" s="183"/>
      <c r="C74" s="9">
        <f t="shared" si="29"/>
        <v>67</v>
      </c>
      <c r="D74" s="1">
        <f t="shared" si="30"/>
        <v>4</v>
      </c>
      <c r="E74" s="189" t="str">
        <f ca="1">IF(Database_configurator!$F$5=24,INDEX(INDIRECT($K$1&amp;":"&amp;$K$2),C74,1)," ")</f>
        <v>Four 1 Gbps LC-type SFP transceivers single mode fiber 1000BASE-LX Ethernet for up to 20 km</v>
      </c>
      <c r="F74" s="9" t="str">
        <f t="shared" ca="1" si="26"/>
        <v>D</v>
      </c>
      <c r="G74" s="192">
        <f t="shared" ca="1" si="27"/>
        <v>0</v>
      </c>
      <c r="H74" s="193" t="str">
        <f t="shared" ca="1" si="28"/>
        <v>Y</v>
      </c>
    </row>
    <row r="75" spans="1:8">
      <c r="B75" s="183"/>
      <c r="C75" s="9">
        <f t="shared" si="29"/>
        <v>68</v>
      </c>
      <c r="D75" s="1">
        <f t="shared" si="30"/>
        <v>5</v>
      </c>
      <c r="E75" s="189" t="str">
        <f ca="1">IF(Database_configurator!$F$5=24,INDEX(INDIRECT($K$1&amp;":"&amp;$K$2),C75,1)," ")</f>
        <v>Four 1 Gbps LC-type SFP transceivers single mode fiber 1000BASE-ZX Ethernet for up to 40 km</v>
      </c>
      <c r="F75" s="9" t="str">
        <f t="shared" ca="1" si="26"/>
        <v>E</v>
      </c>
      <c r="G75" s="192">
        <f t="shared" ca="1" si="27"/>
        <v>0</v>
      </c>
      <c r="H75" s="193" t="str">
        <f t="shared" ca="1" si="28"/>
        <v>Y</v>
      </c>
    </row>
    <row r="76" spans="1:8">
      <c r="B76" s="183"/>
      <c r="C76" s="9">
        <f t="shared" si="29"/>
        <v>69</v>
      </c>
      <c r="D76" s="1">
        <f t="shared" si="30"/>
        <v>6</v>
      </c>
      <c r="E76" s="189" t="str">
        <f ca="1">IF(Database_configurator!$F$5=24,INDEX(INDIRECT($K$1&amp;":"&amp;$K$2),C76,1)," ")</f>
        <v>Four 1 Gbps LC-type SFP transceivers single mode fiber 1000BASE-ZX Ethernet for up to 80 km</v>
      </c>
      <c r="F76" s="9" t="str">
        <f t="shared" ca="1" si="26"/>
        <v>F</v>
      </c>
      <c r="G76" s="192">
        <f t="shared" ca="1" si="27"/>
        <v>0</v>
      </c>
      <c r="H76" s="193" t="str">
        <f t="shared" ca="1" si="28"/>
        <v>Y</v>
      </c>
    </row>
    <row r="77" spans="1:8">
      <c r="B77" s="183"/>
      <c r="C77" s="9">
        <f t="shared" si="29"/>
        <v>70</v>
      </c>
      <c r="D77" s="1">
        <f t="shared" si="30"/>
        <v>7</v>
      </c>
      <c r="E77" s="189" t="str">
        <f t="shared" ref="E77:E80" ca="1" si="31">INDEX(INDIRECT($K$1&amp;":"&amp;$K$2),C77,1)</f>
        <v>Four 100 Mbps LC-type SFP transceivers multi mode fiber 100BASE-FX Ethernet for up to 2 km</v>
      </c>
      <c r="F77" s="9" t="str">
        <f t="shared" ca="1" si="26"/>
        <v>H</v>
      </c>
      <c r="G77" s="192">
        <f t="shared" ca="1" si="27"/>
        <v>0</v>
      </c>
      <c r="H77" s="193" t="str">
        <f t="shared" ca="1" si="28"/>
        <v>Y</v>
      </c>
    </row>
    <row r="78" spans="1:8">
      <c r="B78" s="183"/>
      <c r="C78" s="9">
        <f t="shared" si="29"/>
        <v>71</v>
      </c>
      <c r="D78" s="1">
        <f t="shared" si="30"/>
        <v>8</v>
      </c>
      <c r="E78" s="189" t="str">
        <f t="shared" ca="1" si="31"/>
        <v>Four RJ45 copper 10/100BASE-TX</v>
      </c>
      <c r="F78" s="9" t="str">
        <f t="shared" ca="1" si="26"/>
        <v>I</v>
      </c>
      <c r="G78" s="192">
        <f t="shared" ca="1" si="27"/>
        <v>0</v>
      </c>
      <c r="H78" s="193" t="str">
        <f t="shared" ca="1" si="28"/>
        <v>Y</v>
      </c>
    </row>
    <row r="79" spans="1:8">
      <c r="B79" s="183"/>
      <c r="C79" s="9">
        <f t="shared" si="29"/>
        <v>72</v>
      </c>
      <c r="D79" s="1">
        <f>D78+1</f>
        <v>9</v>
      </c>
      <c r="E79" s="189" t="str">
        <f ca="1">IF(Database_configurator!$F$5=24,INDEX(INDIRECT($K$1&amp;":"&amp;$K$2),C79,1)," ")</f>
        <v>Four 1 Gbps RJ45 SFP transceivers Ethernet 10/100BASE-TX/1000BASE-T</v>
      </c>
      <c r="F79" s="9" t="str">
        <f t="shared" ca="1" si="26"/>
        <v>J</v>
      </c>
      <c r="G79" s="192">
        <f t="shared" ca="1" si="27"/>
        <v>0</v>
      </c>
      <c r="H79" s="193" t="str">
        <f t="shared" ca="1" si="28"/>
        <v>Y</v>
      </c>
    </row>
    <row r="80" spans="1:8">
      <c r="B80" s="183"/>
      <c r="C80" s="9">
        <f t="shared" si="29"/>
        <v>73</v>
      </c>
      <c r="D80" s="1">
        <f>D79+1</f>
        <v>10</v>
      </c>
      <c r="E80" s="189" t="str">
        <f t="shared" ca="1" si="31"/>
        <v>Not installed</v>
      </c>
      <c r="F80" s="9" t="str">
        <f t="shared" ca="1" si="26"/>
        <v>X</v>
      </c>
      <c r="G80" s="192">
        <f t="shared" ca="1" si="27"/>
        <v>0</v>
      </c>
      <c r="H80" s="193" t="str">
        <f t="shared" ca="1" si="28"/>
        <v>Y</v>
      </c>
    </row>
    <row r="81" spans="1:8">
      <c r="C81" s="11"/>
      <c r="D81" s="11"/>
      <c r="E81" s="200"/>
      <c r="F81" s="11"/>
      <c r="G81" s="195"/>
      <c r="H81" s="196"/>
    </row>
    <row r="82" spans="1:8">
      <c r="A82" s="184">
        <v>11</v>
      </c>
      <c r="B82" s="197" t="str">
        <f>INDEX('Date Drivers'!$A$1:$B$381,Database_configurator!C83,2)</f>
        <v>Interface Module 5</v>
      </c>
      <c r="C82" s="186"/>
      <c r="D82" s="187">
        <v>2</v>
      </c>
      <c r="E82" s="188" t="str">
        <f ca="1">IF(OR($F$5=24,D82=2,D82=7,D82=8,D82=10),VLOOKUP(D82,D83:F92,2,FALSE),E92)</f>
        <v>Four slots for SFP transceivers (up to 1 Gbps)</v>
      </c>
      <c r="F82" s="187" t="str">
        <f ca="1">IF(OR($F$5=24,D82=2,D82=7,D82=8,D82=10),VLOOKUP(D82,D83:F92,3,FALSE),F92)</f>
        <v>B</v>
      </c>
      <c r="G82" s="187">
        <f ca="1">VLOOKUP(D82,D83:H93,4,FALSE)</f>
        <v>0</v>
      </c>
      <c r="H82" s="187" t="str">
        <f ca="1">VLOOKUP(D82,D83:H93,5,FALSE)</f>
        <v>Y</v>
      </c>
    </row>
    <row r="83" spans="1:8">
      <c r="A83" s="201"/>
      <c r="B83" s="180"/>
      <c r="C83" s="198">
        <f>MATCH(A82,'Date Drivers'!$A$1:$A$381,0)</f>
        <v>75</v>
      </c>
      <c r="D83" s="198">
        <v>1</v>
      </c>
      <c r="E83" s="189" t="str">
        <f ca="1">IF(Database_configurator!$F$5=24,INDEX(INDIRECT($K$1&amp;":"&amp;$K$2),C83,1)," ")</f>
        <v>Four 1 Gbps RJ45 copper 10/100BASE-TX/1000BASE-T Ethernet ports</v>
      </c>
      <c r="F83" s="9" t="str">
        <f t="shared" ref="F83:F92" ca="1" si="32">INDEX(INDIRECT($K$1&amp;":"&amp;$K$2),C83,2)</f>
        <v>A</v>
      </c>
      <c r="G83" s="190">
        <f t="shared" ref="G83:G92" ca="1" si="33">INDEX(INDIRECT($K$1&amp;":"&amp;$K$2),C83,3)</f>
        <v>0</v>
      </c>
      <c r="H83" s="191" t="str">
        <f t="shared" ref="H83:H92" ca="1" si="34">INDEX(INDIRECT($K$1&amp;":"&amp;$K$2),C83,4)</f>
        <v>Y</v>
      </c>
    </row>
    <row r="84" spans="1:8">
      <c r="A84" s="201"/>
      <c r="B84" s="180"/>
      <c r="C84" s="9">
        <f t="shared" ref="C84:C92" si="35">C83+1</f>
        <v>76</v>
      </c>
      <c r="D84" s="9">
        <f t="shared" ref="D84:D90" si="36">D83+1</f>
        <v>2</v>
      </c>
      <c r="E84" s="189" t="str">
        <f ca="1">CONCATENATE(INDEX(INDIRECT($K$1&amp;":"&amp;$K$2),C84,1)," ",IF(Database_configurator!$F$5=24,HLOOKUP(Language!$C$3,Language!$E$1:$Z531,68,FALSE),HLOOKUP(Language!$C$3,Language!$E$1:$Z531,67,FALSE)))</f>
        <v>Four slots for SFP transceivers (up to 1 Gbps)</v>
      </c>
      <c r="F84" s="9" t="str">
        <f t="shared" ca="1" si="32"/>
        <v>B</v>
      </c>
      <c r="G84" s="192">
        <f t="shared" ca="1" si="33"/>
        <v>0</v>
      </c>
      <c r="H84" s="193" t="str">
        <f t="shared" ca="1" si="34"/>
        <v>Y</v>
      </c>
    </row>
    <row r="85" spans="1:8">
      <c r="A85" s="201"/>
      <c r="B85" s="180"/>
      <c r="C85" s="9">
        <f t="shared" si="35"/>
        <v>77</v>
      </c>
      <c r="D85" s="9">
        <f t="shared" si="36"/>
        <v>3</v>
      </c>
      <c r="E85" s="189" t="str">
        <f ca="1">IF(Database_configurator!$F$5=24,INDEX(INDIRECT($K$1&amp;":"&amp;$K$2),C85,1)," ")</f>
        <v>Four 1 Gbps LC-type SFP transceivers multi mode fiber 1000BASE-SX Ethernet for up to 0.5 km</v>
      </c>
      <c r="F85" s="9" t="str">
        <f t="shared" ca="1" si="32"/>
        <v>C</v>
      </c>
      <c r="G85" s="192">
        <f t="shared" ca="1" si="33"/>
        <v>0</v>
      </c>
      <c r="H85" s="193" t="str">
        <f t="shared" ca="1" si="34"/>
        <v>Y</v>
      </c>
    </row>
    <row r="86" spans="1:8">
      <c r="A86" s="201"/>
      <c r="B86" s="180"/>
      <c r="C86" s="9">
        <f t="shared" si="35"/>
        <v>78</v>
      </c>
      <c r="D86" s="9">
        <f t="shared" si="36"/>
        <v>4</v>
      </c>
      <c r="E86" s="189" t="str">
        <f ca="1">IF(Database_configurator!$F$5=24,INDEX(INDIRECT($K$1&amp;":"&amp;$K$2),C86,1)," ")</f>
        <v>Four 1 Gbps LC-type SFP transceivers single mode fiber 1000BASE-LX Ethernet for up to 20 km</v>
      </c>
      <c r="F86" s="9" t="str">
        <f t="shared" ca="1" si="32"/>
        <v>D</v>
      </c>
      <c r="G86" s="192">
        <f t="shared" ca="1" si="33"/>
        <v>0</v>
      </c>
      <c r="H86" s="193" t="str">
        <f t="shared" ca="1" si="34"/>
        <v>Y</v>
      </c>
    </row>
    <row r="87" spans="1:8">
      <c r="A87" s="201"/>
      <c r="B87" s="180"/>
      <c r="C87" s="9">
        <f t="shared" si="35"/>
        <v>79</v>
      </c>
      <c r="D87" s="9">
        <f t="shared" si="36"/>
        <v>5</v>
      </c>
      <c r="E87" s="189" t="str">
        <f ca="1">IF(Database_configurator!$F$5=24,INDEX(INDIRECT($K$1&amp;":"&amp;$K$2),C87,1)," ")</f>
        <v>Four 1 Gbps LC-type SFP transceivers single mode fiber 1000BASE-ZX Ethernet for up to 40 km</v>
      </c>
      <c r="F87" s="9" t="str">
        <f t="shared" ca="1" si="32"/>
        <v>E</v>
      </c>
      <c r="G87" s="192">
        <f t="shared" ca="1" si="33"/>
        <v>0</v>
      </c>
      <c r="H87" s="193" t="str">
        <f t="shared" ca="1" si="34"/>
        <v>Y</v>
      </c>
    </row>
    <row r="88" spans="1:8">
      <c r="A88" s="201"/>
      <c r="B88" s="180"/>
      <c r="C88" s="9">
        <f t="shared" si="35"/>
        <v>80</v>
      </c>
      <c r="D88" s="9">
        <f t="shared" si="36"/>
        <v>6</v>
      </c>
      <c r="E88" s="189" t="str">
        <f ca="1">IF(Database_configurator!$F$5=24,INDEX(INDIRECT($K$1&amp;":"&amp;$K$2),C88,1)," ")</f>
        <v>Four 1 Gbps LC-type SFP transceivers single mode fiber 1000BASE-ZX Ethernet for up to 80 km</v>
      </c>
      <c r="F88" s="9" t="str">
        <f t="shared" ca="1" si="32"/>
        <v>F</v>
      </c>
      <c r="G88" s="192">
        <f t="shared" ca="1" si="33"/>
        <v>0</v>
      </c>
      <c r="H88" s="193" t="str">
        <f t="shared" ca="1" si="34"/>
        <v>Y</v>
      </c>
    </row>
    <row r="89" spans="1:8">
      <c r="A89" s="201"/>
      <c r="B89" s="180"/>
      <c r="C89" s="9">
        <f t="shared" si="35"/>
        <v>81</v>
      </c>
      <c r="D89" s="9">
        <f t="shared" si="36"/>
        <v>7</v>
      </c>
      <c r="E89" s="189" t="str">
        <f t="shared" ref="E89:E92" ca="1" si="37">INDEX(INDIRECT($K$1&amp;":"&amp;$K$2),C89,1)</f>
        <v>Four 100 Mbps LC-type SFP transceivers multi mode fiber 100BASE-FX Ethernet for up to 2 km</v>
      </c>
      <c r="F89" s="9" t="str">
        <f t="shared" ca="1" si="32"/>
        <v>H</v>
      </c>
      <c r="G89" s="192">
        <f t="shared" ca="1" si="33"/>
        <v>0</v>
      </c>
      <c r="H89" s="193" t="str">
        <f t="shared" ca="1" si="34"/>
        <v>Y</v>
      </c>
    </row>
    <row r="90" spans="1:8">
      <c r="A90" s="201"/>
      <c r="B90" s="180"/>
      <c r="C90" s="9">
        <f t="shared" si="35"/>
        <v>82</v>
      </c>
      <c r="D90" s="9">
        <f t="shared" si="36"/>
        <v>8</v>
      </c>
      <c r="E90" s="189" t="str">
        <f t="shared" ca="1" si="37"/>
        <v>Four RJ45 copper 10/100BASE-TX</v>
      </c>
      <c r="F90" s="9" t="str">
        <f t="shared" ca="1" si="32"/>
        <v>I</v>
      </c>
      <c r="G90" s="192">
        <f t="shared" ca="1" si="33"/>
        <v>0</v>
      </c>
      <c r="H90" s="193" t="str">
        <f t="shared" ca="1" si="34"/>
        <v>Y</v>
      </c>
    </row>
    <row r="91" spans="1:8">
      <c r="A91" s="201"/>
      <c r="B91" s="180"/>
      <c r="C91" s="9">
        <f t="shared" si="35"/>
        <v>83</v>
      </c>
      <c r="D91" s="9">
        <f>D90+1</f>
        <v>9</v>
      </c>
      <c r="E91" s="189" t="str">
        <f ca="1">IF(Database_configurator!$F$5=24,INDEX(INDIRECT($K$1&amp;":"&amp;$K$2),C91,1)," ")</f>
        <v>Four 1 Gbps RJ45 SFP transceivers Ethernet 10/100BASE-TX/1000BASE-T</v>
      </c>
      <c r="F91" s="9" t="str">
        <f t="shared" ca="1" si="32"/>
        <v>J</v>
      </c>
      <c r="G91" s="192">
        <f t="shared" ca="1" si="33"/>
        <v>0</v>
      </c>
      <c r="H91" s="193" t="str">
        <f t="shared" ca="1" si="34"/>
        <v>Y</v>
      </c>
    </row>
    <row r="92" spans="1:8">
      <c r="A92" s="201"/>
      <c r="B92" s="180"/>
      <c r="C92" s="9">
        <f t="shared" si="35"/>
        <v>84</v>
      </c>
      <c r="D92" s="9">
        <f>D91+1</f>
        <v>10</v>
      </c>
      <c r="E92" s="189" t="str">
        <f t="shared" ca="1" si="37"/>
        <v>Not installed</v>
      </c>
      <c r="F92" s="9" t="str">
        <f t="shared" ca="1" si="32"/>
        <v>X</v>
      </c>
      <c r="G92" s="192">
        <f t="shared" ca="1" si="33"/>
        <v>0</v>
      </c>
      <c r="H92" s="193" t="str">
        <f t="shared" ca="1" si="34"/>
        <v>Y</v>
      </c>
    </row>
    <row r="93" spans="1:8">
      <c r="A93" s="201"/>
      <c r="B93" s="180"/>
      <c r="C93" s="9"/>
      <c r="D93" s="9"/>
      <c r="E93" s="202"/>
      <c r="F93" s="9"/>
      <c r="G93" s="195"/>
      <c r="H93" s="196"/>
    </row>
    <row r="94" spans="1:8">
      <c r="A94" s="184">
        <v>12</v>
      </c>
      <c r="B94" s="197" t="str">
        <f>INDEX('Date Drivers'!$A$1:$B$381,Database_configurator!C95,2)</f>
        <v>Interface Module 6</v>
      </c>
      <c r="C94" s="186"/>
      <c r="D94" s="187">
        <v>2</v>
      </c>
      <c r="E94" s="188" t="str">
        <f ca="1">IF($F$5=24,VLOOKUP(D94,D95:F104,2,FALSE),E104)</f>
        <v>Four slots for SFP transceivers (up to 1 Gbps)</v>
      </c>
      <c r="F94" s="187" t="str">
        <f ca="1">IF($F$5=24,VLOOKUP(D94,D95:F104,3,FALSE),F104)</f>
        <v>B</v>
      </c>
      <c r="G94" s="187">
        <f ca="1">VLOOKUP(D94,D95:H105,4,FALSE)</f>
        <v>0</v>
      </c>
      <c r="H94" s="187" t="str">
        <f ca="1">VLOOKUP(D94,D95:H105,5,FALSE)</f>
        <v>Y</v>
      </c>
    </row>
    <row r="95" spans="1:8">
      <c r="A95" s="201"/>
      <c r="B95" s="180"/>
      <c r="C95" s="198">
        <f>MATCH(A94,'Date Drivers'!$A$1:$A$381,0)</f>
        <v>86</v>
      </c>
      <c r="D95" s="198">
        <v>1</v>
      </c>
      <c r="E95" s="199" t="str">
        <f ca="1">IF(Database_configurator!$F$5=24,INDEX(INDIRECT($K$1&amp;":"&amp;$K$2),C95,1)," ")</f>
        <v>Four 1 Gbps RJ45 copper 10/100BASE-TX/1000BASE-T Ethernet ports</v>
      </c>
      <c r="F95" s="198" t="str">
        <f t="shared" ref="F95:F104" ca="1" si="38">INDEX(INDIRECT($K$1&amp;":"&amp;$K$2),C95,2)</f>
        <v>A</v>
      </c>
      <c r="G95" s="190">
        <f t="shared" ref="G95:G104" ca="1" si="39">INDEX(INDIRECT($K$1&amp;":"&amp;$K$2),C95,3)</f>
        <v>0</v>
      </c>
      <c r="H95" s="191" t="str">
        <f t="shared" ref="H95:H104" ca="1" si="40">INDEX(INDIRECT($K$1&amp;":"&amp;$K$2),C95,4)</f>
        <v>Y</v>
      </c>
    </row>
    <row r="96" spans="1:8">
      <c r="A96" s="201"/>
      <c r="B96" s="180"/>
      <c r="C96" s="9">
        <f>C95+1</f>
        <v>87</v>
      </c>
      <c r="D96" s="9">
        <f>D95+1</f>
        <v>2</v>
      </c>
      <c r="E96" s="189" t="str">
        <f ca="1">IF(Database_configurator!$F$5=24,CONCATENATE(INDEX(INDIRECT($K$1&amp;":"&amp;$K$2),C96,1)," ",HLOOKUP(Language!$C$3,Language!$E$1:$Z509,68,FALSE))," ")</f>
        <v>Four slots for SFP transceivers (up to 1 Gbps)</v>
      </c>
      <c r="F96" s="9" t="str">
        <f t="shared" ca="1" si="38"/>
        <v>B</v>
      </c>
      <c r="G96" s="192">
        <f t="shared" ca="1" si="39"/>
        <v>0</v>
      </c>
      <c r="H96" s="193" t="str">
        <f t="shared" ca="1" si="40"/>
        <v>Y</v>
      </c>
    </row>
    <row r="97" spans="1:12">
      <c r="A97" s="201"/>
      <c r="B97" s="180"/>
      <c r="C97" s="9">
        <f t="shared" ref="C97:C104" si="41">C96+1</f>
        <v>88</v>
      </c>
      <c r="D97" s="9">
        <f t="shared" ref="D97:D104" si="42">D96+1</f>
        <v>3</v>
      </c>
      <c r="E97" s="189" t="str">
        <f ca="1">IF(Database_configurator!$F$5=24,INDEX(INDIRECT($K$1&amp;":"&amp;$K$2),C97,1)," ")</f>
        <v>Four 1 Gbps LC-type SFP transceivers multi mode fiber 1000BASE-SX Ethernet for up to 0.5 km</v>
      </c>
      <c r="F97" s="9" t="str">
        <f t="shared" ca="1" si="38"/>
        <v>C</v>
      </c>
      <c r="G97" s="192">
        <f t="shared" ca="1" si="39"/>
        <v>0</v>
      </c>
      <c r="H97" s="193" t="str">
        <f t="shared" ca="1" si="40"/>
        <v>Y</v>
      </c>
    </row>
    <row r="98" spans="1:12">
      <c r="A98" s="201"/>
      <c r="B98" s="180"/>
      <c r="C98" s="9">
        <f t="shared" si="41"/>
        <v>89</v>
      </c>
      <c r="D98" s="9">
        <f t="shared" si="42"/>
        <v>4</v>
      </c>
      <c r="E98" s="189" t="str">
        <f ca="1">IF(Database_configurator!$F$5=24,INDEX(INDIRECT($K$1&amp;":"&amp;$K$2),C98,1)," ")</f>
        <v>Four 1 Gbps LC-type SFP transceivers single mode fiber 1000BASE-LX Ethernet for up to 20 km</v>
      </c>
      <c r="F98" s="9" t="str">
        <f t="shared" ca="1" si="38"/>
        <v>D</v>
      </c>
      <c r="G98" s="192">
        <f t="shared" ca="1" si="39"/>
        <v>0</v>
      </c>
      <c r="H98" s="193" t="str">
        <f t="shared" ca="1" si="40"/>
        <v>Y</v>
      </c>
    </row>
    <row r="99" spans="1:12">
      <c r="A99" s="201"/>
      <c r="B99" s="180"/>
      <c r="C99" s="9">
        <f t="shared" si="41"/>
        <v>90</v>
      </c>
      <c r="D99" s="9">
        <f t="shared" si="42"/>
        <v>5</v>
      </c>
      <c r="E99" s="189" t="str">
        <f ca="1">IF(Database_configurator!$F$5=24,INDEX(INDIRECT($K$1&amp;":"&amp;$K$2),C99,1)," ")</f>
        <v>Four 1 Gbps LC-type SFP transceivers single mode fiber 1000BASE-ZX Ethernet for up to 40 km</v>
      </c>
      <c r="F99" s="9" t="str">
        <f t="shared" ca="1" si="38"/>
        <v>E</v>
      </c>
      <c r="G99" s="192">
        <f t="shared" ca="1" si="39"/>
        <v>0</v>
      </c>
      <c r="H99" s="193" t="str">
        <f t="shared" ca="1" si="40"/>
        <v>Y</v>
      </c>
    </row>
    <row r="100" spans="1:12">
      <c r="A100" s="201"/>
      <c r="B100" s="180"/>
      <c r="C100" s="9">
        <f t="shared" si="41"/>
        <v>91</v>
      </c>
      <c r="D100" s="9">
        <f t="shared" si="42"/>
        <v>6</v>
      </c>
      <c r="E100" s="189" t="str">
        <f ca="1">IF(Database_configurator!$F$5=24,INDEX(INDIRECT($K$1&amp;":"&amp;$K$2),C100,1)," ")</f>
        <v>Four 1 Gbps LC-type SFP transceivers single mode fiber 1000BASE-ZX Ethernet for up to 80 km</v>
      </c>
      <c r="F100" s="9" t="str">
        <f t="shared" ca="1" si="38"/>
        <v>F</v>
      </c>
      <c r="G100" s="192">
        <f t="shared" ca="1" si="39"/>
        <v>0</v>
      </c>
      <c r="H100" s="193" t="str">
        <f t="shared" ca="1" si="40"/>
        <v>Y</v>
      </c>
    </row>
    <row r="101" spans="1:12">
      <c r="A101" s="201"/>
      <c r="B101" s="180"/>
      <c r="C101" s="9">
        <f t="shared" si="41"/>
        <v>92</v>
      </c>
      <c r="D101" s="9">
        <f t="shared" si="42"/>
        <v>7</v>
      </c>
      <c r="E101" s="189" t="str">
        <f ca="1">IF(Database_configurator!$F$5=24,INDEX(INDIRECT($K$1&amp;":"&amp;$K$2),C101,1)," ")</f>
        <v>Four 100 Mbps LC-type SFP transceivers multi mode fiber 100BASE-FX Ethernet for up to 2 km</v>
      </c>
      <c r="F101" s="9" t="str">
        <f t="shared" ca="1" si="38"/>
        <v>H</v>
      </c>
      <c r="G101" s="192">
        <f t="shared" ca="1" si="39"/>
        <v>0</v>
      </c>
      <c r="H101" s="193" t="str">
        <f t="shared" ca="1" si="40"/>
        <v>Y</v>
      </c>
    </row>
    <row r="102" spans="1:12">
      <c r="A102" s="201"/>
      <c r="B102" s="180"/>
      <c r="C102" s="9">
        <f t="shared" si="41"/>
        <v>93</v>
      </c>
      <c r="D102" s="9">
        <f t="shared" si="42"/>
        <v>8</v>
      </c>
      <c r="E102" s="189" t="str">
        <f ca="1">IF(Database_configurator!$F$5=24,INDEX(INDIRECT($K$1&amp;":"&amp;$K$2),C102,1)," ")</f>
        <v>Four RJ45 copper 10/100BASE-TX</v>
      </c>
      <c r="F102" s="9" t="str">
        <f t="shared" ca="1" si="38"/>
        <v>I</v>
      </c>
      <c r="G102" s="192">
        <f t="shared" ca="1" si="39"/>
        <v>0</v>
      </c>
      <c r="H102" s="193" t="str">
        <f t="shared" ca="1" si="40"/>
        <v>Y</v>
      </c>
    </row>
    <row r="103" spans="1:12">
      <c r="A103" s="201"/>
      <c r="B103" s="180"/>
      <c r="C103" s="9">
        <f t="shared" si="41"/>
        <v>94</v>
      </c>
      <c r="D103" s="9">
        <f t="shared" si="42"/>
        <v>9</v>
      </c>
      <c r="E103" s="189" t="str">
        <f ca="1">IF(Database_configurator!$F$5=24,INDEX(INDIRECT($K$1&amp;":"&amp;$K$2),C103,1)," ")</f>
        <v>Four 1 Gbps RJ45 SFP transceivers Ethernet 10/100BASE-TX/1000BASE-T</v>
      </c>
      <c r="F103" s="9" t="str">
        <f t="shared" ca="1" si="38"/>
        <v>J</v>
      </c>
      <c r="G103" s="192">
        <f t="shared" ca="1" si="39"/>
        <v>0</v>
      </c>
      <c r="H103" s="193" t="str">
        <f t="shared" ca="1" si="40"/>
        <v>Y</v>
      </c>
      <c r="J103" s="329"/>
      <c r="K103" s="329"/>
      <c r="L103" s="329"/>
    </row>
    <row r="104" spans="1:12">
      <c r="A104" s="201"/>
      <c r="B104" s="180"/>
      <c r="C104" s="9">
        <f t="shared" si="41"/>
        <v>95</v>
      </c>
      <c r="D104" s="9">
        <f t="shared" si="42"/>
        <v>10</v>
      </c>
      <c r="E104" s="189" t="str">
        <f t="shared" ref="E104" ca="1" si="43">INDEX(INDIRECT($K$1&amp;":"&amp;$K$2),C104,1)</f>
        <v>Not installed</v>
      </c>
      <c r="F104" s="9" t="str">
        <f t="shared" ca="1" si="38"/>
        <v>X</v>
      </c>
      <c r="G104" s="192">
        <f t="shared" ca="1" si="39"/>
        <v>0</v>
      </c>
      <c r="H104" s="193" t="str">
        <f t="shared" ca="1" si="40"/>
        <v>Y</v>
      </c>
      <c r="J104" s="329"/>
      <c r="K104" s="329"/>
      <c r="L104" s="329"/>
    </row>
    <row r="105" spans="1:12">
      <c r="A105" s="203"/>
      <c r="B105" s="204"/>
      <c r="C105" s="11"/>
      <c r="D105" s="11"/>
      <c r="E105" s="200"/>
      <c r="F105" s="11"/>
      <c r="G105" s="195"/>
      <c r="H105" s="196"/>
    </row>
    <row r="106" spans="1:12">
      <c r="A106" s="184">
        <v>13</v>
      </c>
      <c r="B106" s="197" t="str">
        <f>INDEX('Date Drivers'!$A$1:$B$381,Database_configurator!C107,2)</f>
        <v>Firmware Version</v>
      </c>
      <c r="C106" s="186"/>
      <c r="D106" s="187">
        <v>1</v>
      </c>
      <c r="E106" s="188" t="str">
        <f ca="1">VLOOKUP(D106,D107:H108,2,FALSE)</f>
        <v>Firmware release number 07</v>
      </c>
      <c r="F106" s="205" t="str">
        <f ca="1">VLOOKUP(D106,D107:H108,3,FALSE)</f>
        <v>07</v>
      </c>
      <c r="G106" s="187">
        <f ca="1">VLOOKUP(D106,D107:H108,4,FALSE)</f>
        <v>0</v>
      </c>
      <c r="H106" s="187" t="str">
        <f ca="1">VLOOKUP(D106,D107:H108,5,FALSE)</f>
        <v>Y</v>
      </c>
    </row>
    <row r="107" spans="1:12">
      <c r="A107" s="201"/>
      <c r="B107" s="180"/>
      <c r="C107" s="198">
        <f>MATCH(A106,'Date Drivers'!$A$1:$A$381,0)</f>
        <v>97</v>
      </c>
      <c r="D107" s="198">
        <v>1</v>
      </c>
      <c r="E107" s="199" t="str">
        <f ca="1">INDEX(INDIRECT($K$1&amp;":"&amp;$K$2),C107,1)</f>
        <v>Firmware release number 07</v>
      </c>
      <c r="F107" s="198" t="str">
        <f ca="1">INDEX(INDIRECT($K$1&amp;":"&amp;$K$2),C107,2)</f>
        <v>07</v>
      </c>
      <c r="G107" s="190">
        <f ca="1">INDEX(INDIRECT($K$1&amp;":"&amp;$K$2),C107,3)</f>
        <v>0</v>
      </c>
      <c r="H107" s="191" t="str">
        <f ca="1">INDEX(INDIRECT($K$1&amp;":"&amp;$K$2),C107,4)</f>
        <v>Y</v>
      </c>
    </row>
    <row r="108" spans="1:12">
      <c r="A108" s="201"/>
      <c r="B108" s="180"/>
      <c r="C108" s="9">
        <f>C107+1</f>
        <v>98</v>
      </c>
      <c r="D108" s="9">
        <f>D107+1</f>
        <v>2</v>
      </c>
      <c r="E108" s="189">
        <f ca="1">INDEX(INDIRECT($K$1&amp;":"&amp;$K$2),C108,1)</f>
        <v>0</v>
      </c>
      <c r="F108" s="9">
        <f ca="1">INDEX(INDIRECT($K$1&amp;":"&amp;$K$2),C108,2)</f>
        <v>0</v>
      </c>
      <c r="G108" s="192">
        <f ca="1">INDEX(INDIRECT($K$1&amp;":"&amp;$K$2),C108,3)</f>
        <v>0</v>
      </c>
      <c r="H108" s="193" t="s">
        <v>38</v>
      </c>
    </row>
    <row r="109" spans="1:12">
      <c r="A109" s="203"/>
      <c r="B109" s="204"/>
      <c r="C109" s="11"/>
      <c r="D109" s="11"/>
      <c r="E109" s="200"/>
      <c r="F109" s="9"/>
      <c r="G109" s="195"/>
      <c r="H109" s="196"/>
    </row>
    <row r="110" spans="1:12">
      <c r="A110" s="184">
        <v>14</v>
      </c>
      <c r="B110" s="197" t="str">
        <f>INDEX('Date Drivers'!$A$1:$B$381,Database_configurator!C111,2)</f>
        <v>Hardware Design Suffix</v>
      </c>
      <c r="C110" s="186"/>
      <c r="D110" s="210">
        <v>1</v>
      </c>
      <c r="E110" s="188" t="str">
        <f ca="1">VLOOKUP(D110,D111:H112,2,FALSE)</f>
        <v>Hardware C version</v>
      </c>
      <c r="F110" s="187" t="str">
        <f ca="1">VLOOKUP(D110,D111:H112,3,FALSE)</f>
        <v>C</v>
      </c>
      <c r="G110" s="187">
        <f ca="1">VLOOKUP(D110,D111:H112,4,FALSE)</f>
        <v>0</v>
      </c>
      <c r="H110" s="187" t="str">
        <f ca="1">VLOOKUP(D110,D111:H112,5,FALSE)</f>
        <v>Y</v>
      </c>
    </row>
    <row r="111" spans="1:12">
      <c r="A111" s="201"/>
      <c r="B111" s="180"/>
      <c r="C111" s="9">
        <f>MATCH(A110,'Date Drivers'!$A$1:$A$381,0)</f>
        <v>100</v>
      </c>
      <c r="D111" s="208">
        <v>1</v>
      </c>
      <c r="E111" s="209" t="str">
        <f ca="1">INDEX(INDIRECT($K$1&amp;":"&amp;$K$2),C111,1)</f>
        <v>Hardware C version</v>
      </c>
      <c r="F111" s="198" t="str">
        <f ca="1">INDEX(INDIRECT($K$1&amp;":"&amp;$K$2),C111,2)</f>
        <v>C</v>
      </c>
      <c r="G111" s="190">
        <f ca="1">INDEX(INDIRECT($K$1&amp;":"&amp;$K$2),C111,3)</f>
        <v>0</v>
      </c>
      <c r="H111" s="190" t="str">
        <f ca="1">INDEX(INDIRECT($K$1&amp;":"&amp;$K$2),C111,4)</f>
        <v>Y</v>
      </c>
    </row>
    <row r="112" spans="1:12">
      <c r="A112" s="201"/>
      <c r="B112" s="180"/>
      <c r="C112" s="9">
        <f>C111+1</f>
        <v>101</v>
      </c>
      <c r="D112" s="208">
        <v>2</v>
      </c>
      <c r="E112" s="209" t="str">
        <f ca="1">INDEX(INDIRECT($K$1&amp;":"&amp;$K$2),C112,1)</f>
        <v>Hardware B version</v>
      </c>
      <c r="F112" s="9" t="str">
        <f ca="1">INDEX(INDIRECT($K$1&amp;":"&amp;$K$2),C112,2)</f>
        <v>B</v>
      </c>
      <c r="G112" s="192">
        <f ca="1">INDEX(INDIRECT($K$1&amp;":"&amp;$K$2),C112,3)</f>
        <v>0</v>
      </c>
      <c r="H112" s="192" t="str">
        <f ca="1">INDEX(INDIRECT($K$1&amp;":"&amp;$K$2),C112,4)</f>
        <v>N</v>
      </c>
    </row>
    <row r="113" spans="1:8">
      <c r="A113" s="201"/>
      <c r="B113" s="180"/>
      <c r="C113" s="9">
        <f>C112+1</f>
        <v>102</v>
      </c>
      <c r="D113" s="208">
        <v>2</v>
      </c>
      <c r="E113" s="209" t="str">
        <f ca="1">INDEX(INDIRECT($K$1&amp;":"&amp;$K$2),C113,1)</f>
        <v>Alternate hardware release (Withdraw)</v>
      </c>
      <c r="F113" s="9" t="str">
        <f ca="1">INDEX(INDIRECT($K$1&amp;":"&amp;$K$2),C113,2)</f>
        <v>BL</v>
      </c>
      <c r="G113" s="192">
        <f ca="1">INDEX(INDIRECT($K$1&amp;":"&amp;$K$2),C113,3)</f>
        <v>0</v>
      </c>
      <c r="H113" s="192" t="str">
        <f ca="1">INDEX(INDIRECT($K$1&amp;":"&amp;$K$2),C113,4)</f>
        <v>N</v>
      </c>
    </row>
    <row r="114" spans="1:8">
      <c r="A114" s="274">
        <v>15</v>
      </c>
      <c r="B114" s="275" t="str">
        <f>INDEX('Date Drivers'!$A$1:$B$381,Database_configurator!C115,2)</f>
        <v>UL/CSA Recognized</v>
      </c>
      <c r="C114" s="276"/>
      <c r="D114" s="277">
        <v>1</v>
      </c>
      <c r="E114" s="188" t="str">
        <f ca="1">IF(AND(D114=1,OR(AND(D9=2,D14=2),AND(D9=2,D14=3))),VLOOKUP(D110,D115:H116,2,FALSE), "No")</f>
        <v>Yes</v>
      </c>
      <c r="F114" s="187">
        <f ca="1">IF(AND(D114=1,OR(AND(D9=2,D14=2),AND(D9=2,D14=3))),VLOOKUP(D114,D115:H116,3,FALSE),0)</f>
        <v>1</v>
      </c>
      <c r="G114" s="277">
        <f ca="1">VLOOKUP(D114,D115:H116,4,FALSE)</f>
        <v>0</v>
      </c>
      <c r="H114" s="277" t="str">
        <f ca="1">VLOOKUP(D114,D115:H116,5,FALSE)</f>
        <v>Y</v>
      </c>
    </row>
    <row r="115" spans="1:8">
      <c r="A115" s="280"/>
      <c r="B115" s="281"/>
      <c r="C115" s="282">
        <f>MATCH(A114,'Date Drivers'!$A$1:$A$381,0)</f>
        <v>104</v>
      </c>
      <c r="D115" s="282">
        <v>1</v>
      </c>
      <c r="E115" s="283" t="str">
        <f ca="1">IF(AND(D110=1,OR(AND(D9=2,D14=2),AND(D9=2,D14=3))),INDEX(INDIRECT($K$1&amp;":"&amp;$K$2),C115,1),"")</f>
        <v>Yes</v>
      </c>
      <c r="F115" s="282">
        <f ca="1">INDEX(INDIRECT($K$1&amp;":"&amp;$K$2),C115,2)</f>
        <v>1</v>
      </c>
      <c r="G115" s="284">
        <f ca="1">INDEX(INDIRECT($K$1&amp;":"&amp;$K$2),C115,3)</f>
        <v>0</v>
      </c>
      <c r="H115" s="285" t="str">
        <f ca="1">INDEX(INDIRECT($K$1&amp;":"&amp;$K$2),C115,4)</f>
        <v>Y</v>
      </c>
    </row>
    <row r="116" spans="1:8">
      <c r="A116" s="286"/>
      <c r="B116" s="287"/>
      <c r="C116" s="288">
        <f>C115+1</f>
        <v>105</v>
      </c>
      <c r="D116" s="288">
        <f>D115+1</f>
        <v>2</v>
      </c>
      <c r="E116" s="289" t="str">
        <f ca="1">INDEX(INDIRECT($K$1&amp;":"&amp;$K$2),C116,1)</f>
        <v>No</v>
      </c>
      <c r="F116" s="288">
        <f ca="1">INDEX(INDIRECT($K$1&amp;":"&amp;$K$2),C116,2)</f>
        <v>0</v>
      </c>
      <c r="G116" s="290">
        <f ca="1">INDEX(INDIRECT($K$1&amp;":"&amp;$K$2),C116,3)</f>
        <v>0</v>
      </c>
      <c r="H116" s="291" t="s">
        <v>38</v>
      </c>
    </row>
  </sheetData>
  <mergeCells count="2">
    <mergeCell ref="J103:L103"/>
    <mergeCell ref="J104:L104"/>
  </mergeCells>
  <pageMargins left="0.511811024" right="0.511811024" top="0.78740157499999996" bottom="0.78740157499999996" header="0.31496062000000002" footer="0.31496062000000002"/>
  <pageSetup paperSize="9" orientation="portrait" r:id="rId1"/>
  <ignoredErrors>
    <ignoredError sqref="E33 E48 E60 E84 E7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20"/>
  <sheetViews>
    <sheetView zoomScaleNormal="100" workbookViewId="0">
      <selection activeCell="E15" sqref="E15:E18"/>
    </sheetView>
  </sheetViews>
  <sheetFormatPr defaultColWidth="9.1796875" defaultRowHeight="11.5"/>
  <cols>
    <col min="1" max="1" width="5.26953125" style="1" customWidth="1"/>
    <col min="2" max="2" width="30.7265625" style="176" customWidth="1"/>
    <col min="3" max="3" width="4" style="1" customWidth="1"/>
    <col min="4" max="4" width="3.81640625" style="1" customWidth="1"/>
    <col min="5" max="5" width="89" style="218" bestFit="1" customWidth="1"/>
    <col min="6" max="6" width="5.81640625" style="1" customWidth="1"/>
    <col min="7" max="8" width="10.7265625" style="206" customWidth="1"/>
    <col min="9" max="9" width="9.1796875" style="176"/>
    <col min="10" max="10" width="29.26953125" style="176" customWidth="1"/>
    <col min="11" max="11" width="19.26953125" style="176" customWidth="1"/>
    <col min="12" max="12" width="45.26953125" style="176" customWidth="1"/>
    <col min="13" max="16384" width="9.1796875" style="176"/>
  </cols>
  <sheetData>
    <row r="1" spans="1:11">
      <c r="B1" s="164" t="s">
        <v>30</v>
      </c>
      <c r="C1" s="174"/>
      <c r="D1" s="174"/>
      <c r="E1" s="256">
        <v>45395</v>
      </c>
      <c r="G1" s="175" t="s">
        <v>42</v>
      </c>
      <c r="H1" s="175" t="s">
        <v>37</v>
      </c>
      <c r="J1" s="177" t="s">
        <v>31</v>
      </c>
      <c r="K1" s="178" t="str">
        <f>ADDRESS(1,MATCH(E1,'Date Drivers'!A2:ZA2,0),1,1,"Date Drivers")</f>
        <v>'Date Drivers'!$AE$1</v>
      </c>
    </row>
    <row r="2" spans="1:11">
      <c r="B2" s="164" t="str">
        <f>INDEX('Date Drivers'!$A$1:$B$381,4,2)</f>
        <v>Model Type</v>
      </c>
      <c r="C2" s="174"/>
      <c r="D2" s="174"/>
      <c r="E2" s="179" t="str">
        <f ca="1">INDEX(INDIRECT($K$1&amp;":"&amp;$K$2),4,1)</f>
        <v>S20 Industrial Managed Ethernet Switch</v>
      </c>
      <c r="G2" s="175">
        <f ca="1">INDEX(INDIRECT($K$1&amp;":"&amp;$K$2),5,3)</f>
        <v>0</v>
      </c>
      <c r="H2" s="175" t="str">
        <f ca="1">INDEX(INDIRECT($K$1&amp;":"&amp;$K$2),5,4)</f>
        <v>Y</v>
      </c>
      <c r="J2" s="177" t="s">
        <v>32</v>
      </c>
      <c r="K2" s="178" t="str">
        <f>ADDRESS(500,MATCH(E1,'Date Drivers'!A2:ZA2,0)+4,1,1)</f>
        <v>$AI$500</v>
      </c>
    </row>
    <row r="3" spans="1:11">
      <c r="B3" s="164" t="s">
        <v>68</v>
      </c>
      <c r="C3" s="174"/>
      <c r="D3" s="174"/>
      <c r="E3" s="179" t="str">
        <f>'Date Drivers'!C5</f>
        <v>S20</v>
      </c>
      <c r="G3" s="175"/>
      <c r="H3" s="175"/>
      <c r="J3" s="180"/>
      <c r="K3" s="181"/>
    </row>
    <row r="4" spans="1:11">
      <c r="B4" s="165" t="s">
        <v>71</v>
      </c>
      <c r="C4" s="182"/>
      <c r="D4" s="182"/>
      <c r="E4" s="179" t="e">
        <f ca="1">CONCATENATE(E3,F5,F9,F14,F20,F23,F27,F31,F46,F58,F70,F82,F94,F106,F110,#REF!)</f>
        <v>#REF!</v>
      </c>
      <c r="G4" s="175"/>
      <c r="H4" s="175"/>
      <c r="J4" s="243"/>
    </row>
    <row r="5" spans="1:11">
      <c r="A5" s="184">
        <v>1</v>
      </c>
      <c r="B5" s="185" t="str">
        <f>INDEX('Date Drivers'!$A$1:$B$381,Database_cortec!C6,2)</f>
        <v>Number of ports</v>
      </c>
      <c r="C5" s="186"/>
      <c r="D5" s="187">
        <v>1</v>
      </c>
      <c r="E5" s="188" t="str">
        <f ca="1">VLOOKUP(D5,D6:F7,2,FALSE)</f>
        <v>Up to 20 ports (4x Gigabit)</v>
      </c>
      <c r="F5" s="187">
        <f ca="1">VLOOKUP(D5,D6:F7,3,FALSE)</f>
        <v>20</v>
      </c>
      <c r="G5" s="187">
        <f ca="1">VLOOKUP(D5,D6:H7,4,FALSE)</f>
        <v>0</v>
      </c>
      <c r="H5" s="187" t="str">
        <f ca="1">VLOOKUP(D5,D6:H7,5,FALSE)</f>
        <v>Y</v>
      </c>
      <c r="J5" s="243"/>
    </row>
    <row r="6" spans="1:11">
      <c r="A6" s="243"/>
      <c r="B6" s="243"/>
      <c r="C6" s="9">
        <f>MATCH(A5,'Date Drivers'!$A$1:$A$381,0)</f>
        <v>6</v>
      </c>
      <c r="D6" s="9">
        <v>1</v>
      </c>
      <c r="E6" s="189" t="str">
        <f ca="1">INDEX(INDIRECT($K$1&amp;":"&amp;$K$2),C6,1)</f>
        <v>Up to 20 ports (4x Gigabit)</v>
      </c>
      <c r="F6" s="9">
        <f ca="1">INDEX(INDIRECT($K$1&amp;":"&amp;$K$2),C6,2)</f>
        <v>20</v>
      </c>
      <c r="G6" s="190">
        <f ca="1">INDEX(INDIRECT($K$1&amp;":"&amp;$K$2),C6,3)</f>
        <v>0</v>
      </c>
      <c r="H6" s="191" t="str">
        <f ca="1">INDEX(INDIRECT($K$1&amp;":"&amp;$K$2),C6,4)</f>
        <v>Y</v>
      </c>
      <c r="J6" s="243"/>
    </row>
    <row r="7" spans="1:11">
      <c r="A7" s="243"/>
      <c r="B7" s="243"/>
      <c r="C7" s="9">
        <f>C6+1</f>
        <v>7</v>
      </c>
      <c r="D7" s="9">
        <v>2</v>
      </c>
      <c r="E7" s="189" t="str">
        <f ca="1">INDEX(INDIRECT($K$1&amp;":"&amp;$K$2),C7,1)</f>
        <v>Up to 24 Gigabit ports</v>
      </c>
      <c r="F7" s="9">
        <f ca="1">INDEX(INDIRECT($K$1&amp;":"&amp;$K$2),C7,2)</f>
        <v>24</v>
      </c>
      <c r="G7" s="192">
        <f ca="1">INDEX(INDIRECT($K$1&amp;":"&amp;$K$2),C7,3)</f>
        <v>0</v>
      </c>
      <c r="H7" s="193" t="str">
        <f ca="1">INDEX(INDIRECT($K$1&amp;":"&amp;$K$2),C7,4)</f>
        <v>Y</v>
      </c>
      <c r="J7" s="243"/>
    </row>
    <row r="8" spans="1:11">
      <c r="A8" s="164"/>
      <c r="B8" s="164"/>
      <c r="C8" s="194"/>
      <c r="D8" s="194"/>
      <c r="E8" s="189"/>
      <c r="F8" s="9"/>
      <c r="G8" s="195"/>
      <c r="H8" s="196"/>
      <c r="J8" s="243"/>
    </row>
    <row r="9" spans="1:11">
      <c r="A9" s="184">
        <v>2</v>
      </c>
      <c r="B9" s="185" t="str">
        <f>INDEX('Date Drivers'!$A$1:$B$381,Database_cortec!C10,2)</f>
        <v>Power Supply 1</v>
      </c>
      <c r="C9" s="186"/>
      <c r="D9" s="187">
        <v>1</v>
      </c>
      <c r="E9" s="188" t="str">
        <f ca="1">VLOOKUP(D9,D10:F11,2,FALSE)</f>
        <v>48 Vdc</v>
      </c>
      <c r="F9" s="187">
        <f ca="1">VLOOKUP(D9,D10:F11,3,FALSE)</f>
        <v>1</v>
      </c>
      <c r="G9" s="187">
        <f ca="1">VLOOKUP(D9,D10:H11,4,FALSE)</f>
        <v>0</v>
      </c>
      <c r="H9" s="187" t="str">
        <f ca="1">VLOOKUP(D9,D10:H11,5,FALSE)</f>
        <v>Y</v>
      </c>
    </row>
    <row r="10" spans="1:11">
      <c r="A10" s="243"/>
      <c r="B10" s="243"/>
      <c r="C10" s="9">
        <f>MATCH(A9,'Date Drivers'!$A$1:$A$381,0)</f>
        <v>9</v>
      </c>
      <c r="D10" s="9">
        <v>1</v>
      </c>
      <c r="E10" s="189" t="str">
        <f t="shared" ref="E10:E12" ca="1" si="0">INDEX(INDIRECT($K$1&amp;":"&amp;$K$2),C10,1)</f>
        <v>48 Vdc</v>
      </c>
      <c r="F10" s="9">
        <f ca="1">INDEX(INDIRECT($K$1&amp;":"&amp;$K$2),C10,2)</f>
        <v>1</v>
      </c>
      <c r="G10" s="190">
        <f ca="1">INDEX(INDIRECT($K$1&amp;":"&amp;$K$2),C10,3)</f>
        <v>0</v>
      </c>
      <c r="H10" s="191" t="str">
        <f ca="1">INDEX(INDIRECT($K$1&amp;":"&amp;$K$2),C10,4)</f>
        <v>Y</v>
      </c>
    </row>
    <row r="11" spans="1:11">
      <c r="A11" s="243"/>
      <c r="B11" s="243"/>
      <c r="C11" s="9">
        <f>C10+1</f>
        <v>10</v>
      </c>
      <c r="D11" s="9">
        <f t="shared" ref="D11:D12" si="1">D10+1</f>
        <v>2</v>
      </c>
      <c r="E11" s="189" t="str">
        <f t="shared" ca="1" si="0"/>
        <v>125-250 Vdc / 110-240 Vac</v>
      </c>
      <c r="F11" s="9">
        <f ca="1">INDEX(INDIRECT($K$1&amp;":"&amp;$K$2),C11,2)</f>
        <v>3</v>
      </c>
      <c r="G11" s="192">
        <f ca="1">INDEX(INDIRECT($K$1&amp;":"&amp;$K$2),C11,3)</f>
        <v>0</v>
      </c>
      <c r="H11" s="193" t="str">
        <f ca="1">INDEX(INDIRECT($K$1&amp;":"&amp;$K$2),C11,4)</f>
        <v>Y</v>
      </c>
    </row>
    <row r="12" spans="1:11">
      <c r="A12" s="258"/>
      <c r="B12" s="258"/>
      <c r="C12" s="9">
        <f>C11+1</f>
        <v>11</v>
      </c>
      <c r="D12" s="9">
        <f t="shared" si="1"/>
        <v>3</v>
      </c>
      <c r="E12" s="189" t="str">
        <f t="shared" ca="1" si="0"/>
        <v>125-250 Vdc / 110-240 Vac (non UL recognized)</v>
      </c>
      <c r="F12" s="9">
        <f ca="1">INDEX(INDIRECT($K$1&amp;":"&amp;$K$2),C12,2)</f>
        <v>4</v>
      </c>
      <c r="G12" s="192">
        <f ca="1">INDEX(INDIRECT($K$1&amp;":"&amp;$K$2),C12,3)</f>
        <v>0</v>
      </c>
      <c r="H12" s="193" t="str">
        <f ca="1">INDEX(INDIRECT($K$1&amp;":"&amp;$K$2),C12,4)</f>
        <v>Y</v>
      </c>
    </row>
    <row r="13" spans="1:11">
      <c r="B13" s="243"/>
      <c r="C13" s="9"/>
      <c r="D13" s="9"/>
      <c r="E13" s="189"/>
      <c r="F13" s="9"/>
      <c r="G13" s="195"/>
      <c r="H13" s="196"/>
    </row>
    <row r="14" spans="1:11">
      <c r="A14" s="184">
        <v>3</v>
      </c>
      <c r="B14" s="197" t="str">
        <f>INDEX('Date Drivers'!$A$1:$B$381,Database_cortec!C15,2)</f>
        <v>Power Supply 2</v>
      </c>
      <c r="C14" s="186"/>
      <c r="D14" s="187">
        <v>1</v>
      </c>
      <c r="E14" s="188" t="str">
        <f ca="1">VLOOKUP(D14,D15:F17,2,FALSE)</f>
        <v>48 Vdc</v>
      </c>
      <c r="F14" s="187">
        <f ca="1">VLOOKUP(D14,D15:F18,3,FALSE)</f>
        <v>1</v>
      </c>
      <c r="G14" s="187">
        <f ca="1">VLOOKUP(D14,D15:H18,4,FALSE)</f>
        <v>0</v>
      </c>
      <c r="H14" s="187" t="str">
        <f ca="1">VLOOKUP(D14,D15:H18,5,FALSE)</f>
        <v>Y</v>
      </c>
    </row>
    <row r="15" spans="1:11">
      <c r="A15" s="243"/>
      <c r="B15" s="243"/>
      <c r="C15" s="9">
        <f>MATCH(A14,'Date Drivers'!$A$1:$A$381,0)</f>
        <v>13</v>
      </c>
      <c r="D15" s="9">
        <v>1</v>
      </c>
      <c r="E15" s="189" t="str">
        <f t="shared" ref="E15:E18" ca="1" si="2">INDEX(INDIRECT($K$1&amp;":"&amp;$K$2),C15,1)</f>
        <v>48 Vdc</v>
      </c>
      <c r="F15" s="9">
        <f ca="1">INDEX(INDIRECT($K$1&amp;":"&amp;$K$2),C15,2)</f>
        <v>1</v>
      </c>
      <c r="G15" s="190">
        <f ca="1">INDEX(INDIRECT($K$1&amp;":"&amp;$K$2),C15,3)</f>
        <v>0</v>
      </c>
      <c r="H15" s="191" t="str">
        <f ca="1">INDEX(INDIRECT($K$1&amp;":"&amp;$K$2),C15,4)</f>
        <v>Y</v>
      </c>
    </row>
    <row r="16" spans="1:11">
      <c r="A16" s="243"/>
      <c r="B16" s="243"/>
      <c r="C16" s="9">
        <f t="shared" ref="C16:D18" si="3">C15+1</f>
        <v>14</v>
      </c>
      <c r="D16" s="9">
        <f t="shared" si="3"/>
        <v>2</v>
      </c>
      <c r="E16" s="189" t="str">
        <f t="shared" ca="1" si="2"/>
        <v>125-250 Vdc / 110-240 Vac</v>
      </c>
      <c r="F16" s="9">
        <f ca="1">INDEX(INDIRECT($K$1&amp;":"&amp;$K$2),C16,2)</f>
        <v>3</v>
      </c>
      <c r="G16" s="192">
        <f ca="1">INDEX(INDIRECT($K$1&amp;":"&amp;$K$2),C16,3)</f>
        <v>0</v>
      </c>
      <c r="H16" s="193" t="str">
        <f ca="1">INDEX(INDIRECT($K$1&amp;":"&amp;$K$2),C16,4)</f>
        <v>Y</v>
      </c>
    </row>
    <row r="17" spans="1:8">
      <c r="A17" s="243"/>
      <c r="B17" s="243"/>
      <c r="C17" s="9">
        <f t="shared" si="3"/>
        <v>15</v>
      </c>
      <c r="D17" s="9">
        <f t="shared" si="3"/>
        <v>3</v>
      </c>
      <c r="E17" s="189" t="str">
        <f t="shared" ca="1" si="2"/>
        <v>Not installed</v>
      </c>
      <c r="F17" s="9" t="str">
        <f ca="1">INDEX(INDIRECT($K$1&amp;":"&amp;$K$2),C17,2)</f>
        <v>X</v>
      </c>
      <c r="G17" s="192">
        <f ca="1">INDEX(INDIRECT($K$1&amp;":"&amp;$K$2),C17,3)</f>
        <v>0</v>
      </c>
      <c r="H17" s="193" t="str">
        <f ca="1">INDEX(INDIRECT($K$1&amp;":"&amp;$K$2),C17,4)</f>
        <v>Y</v>
      </c>
    </row>
    <row r="18" spans="1:8">
      <c r="A18" s="258"/>
      <c r="B18" s="258"/>
      <c r="C18" s="9">
        <f t="shared" si="3"/>
        <v>16</v>
      </c>
      <c r="D18" s="9">
        <f t="shared" si="3"/>
        <v>4</v>
      </c>
      <c r="E18" s="189" t="str">
        <f t="shared" ca="1" si="2"/>
        <v>125-250 Vdc / 110-240 Vac (non UL recognized)</v>
      </c>
      <c r="F18" s="9">
        <f ca="1">INDEX(INDIRECT($K$1&amp;":"&amp;$K$2),C18,2)</f>
        <v>4</v>
      </c>
      <c r="G18" s="192">
        <f ca="1">INDEX(INDIRECT($K$1&amp;":"&amp;$K$2),C18,3)</f>
        <v>0</v>
      </c>
      <c r="H18" s="193" t="str">
        <f ca="1">INDEX(INDIRECT($K$1&amp;":"&amp;$K$2),C18,4)</f>
        <v>Y</v>
      </c>
    </row>
    <row r="19" spans="1:8">
      <c r="A19" s="243"/>
      <c r="B19" s="243"/>
      <c r="C19" s="9"/>
      <c r="D19" s="9"/>
      <c r="E19" s="189"/>
      <c r="F19" s="9"/>
      <c r="G19" s="192"/>
      <c r="H19" s="193"/>
    </row>
    <row r="20" spans="1:8">
      <c r="A20" s="184">
        <v>4</v>
      </c>
      <c r="B20" s="197" t="str">
        <f>INDEX('Date Drivers'!$A$1:$B$381,Database_cortec!C21,2)</f>
        <v>Mounting Options</v>
      </c>
      <c r="C20" s="186"/>
      <c r="D20" s="187">
        <v>1</v>
      </c>
      <c r="E20" s="188" t="str">
        <f ca="1">VLOOKUP(D20,D21:F21,2,FALSE)</f>
        <v>19” Rack Mount / Rear Mount</v>
      </c>
      <c r="F20" s="187" t="str">
        <f ca="1">VLOOKUP(D20,D21:F21,3,FALSE)</f>
        <v>P</v>
      </c>
      <c r="G20" s="187">
        <f ca="1">VLOOKUP(D20,D21:H21,4,FALSE)</f>
        <v>0</v>
      </c>
      <c r="H20" s="187" t="str">
        <f ca="1">VLOOKUP(D20,D21:H21,5,FALSE)</f>
        <v>Y</v>
      </c>
    </row>
    <row r="21" spans="1:8">
      <c r="A21" s="243"/>
      <c r="B21" s="243"/>
      <c r="C21" s="198">
        <f>MATCH(A20,'Date Drivers'!$A$1:$A$381,0)</f>
        <v>18</v>
      </c>
      <c r="D21" s="9">
        <v>1</v>
      </c>
      <c r="E21" s="189" t="str">
        <f ca="1">INDEX(INDIRECT($K$1&amp;":"&amp;$K$2),C21,1)</f>
        <v>19” Rack Mount / Rear Mount</v>
      </c>
      <c r="F21" s="9" t="str">
        <f ca="1">INDEX(INDIRECT($K$1&amp;":"&amp;$K$2),C21,2)</f>
        <v>P</v>
      </c>
      <c r="G21" s="190">
        <f ca="1">INDEX(INDIRECT($K$1&amp;":"&amp;$K$2),C21,3)</f>
        <v>0</v>
      </c>
      <c r="H21" s="191" t="str">
        <f ca="1">INDEX(INDIRECT($K$1&amp;":"&amp;$K$2),C21,4)</f>
        <v>Y</v>
      </c>
    </row>
    <row r="22" spans="1:8">
      <c r="A22" s="243"/>
      <c r="B22" s="243"/>
      <c r="C22" s="9"/>
      <c r="D22" s="9"/>
      <c r="E22" s="189"/>
      <c r="F22" s="9"/>
      <c r="G22" s="192"/>
      <c r="H22" s="193"/>
    </row>
    <row r="23" spans="1:8">
      <c r="A23" s="184">
        <v>5</v>
      </c>
      <c r="B23" s="185" t="str">
        <f>INDEX('Date Drivers'!$A$1:$B$381,Database_cortec!C24,2)</f>
        <v>Software Functionality (Licensing)</v>
      </c>
      <c r="C23" s="186"/>
      <c r="D23" s="187">
        <v>2</v>
      </c>
      <c r="E23" s="188" t="str">
        <f ca="1">VLOOKUP(D23,D24:F25,2,FALSE)</f>
        <v>Advanced Layer 2 and Layer 3 packet switching (MAC Based and IP Based)</v>
      </c>
      <c r="F23" s="187">
        <f ca="1">VLOOKUP(D23,D24:F25,3,FALSE)</f>
        <v>3</v>
      </c>
      <c r="G23" s="187">
        <f ca="1">VLOOKUP(D23,D24:H25,4,FALSE)</f>
        <v>0</v>
      </c>
      <c r="H23" s="187" t="str">
        <f ca="1">VLOOKUP(D23,D24:H25,5,FALSE)</f>
        <v>Y</v>
      </c>
    </row>
    <row r="24" spans="1:8">
      <c r="A24" s="243"/>
      <c r="B24" s="243"/>
      <c r="C24" s="9">
        <f>MATCH(A23,'Date Drivers'!$A$1:$A$381,0)</f>
        <v>20</v>
      </c>
      <c r="D24" s="9">
        <v>1</v>
      </c>
      <c r="E24" s="189" t="str">
        <f ca="1">INDEX(INDIRECT($K$1&amp;":"&amp;$K$2),C24,1)</f>
        <v>Standard Layer 2 packet switching (MAC Based)</v>
      </c>
      <c r="F24" s="9">
        <f ca="1">INDEX(INDIRECT($K$1&amp;":"&amp;$K$2),C24,2)</f>
        <v>2</v>
      </c>
      <c r="G24" s="190">
        <f ca="1">INDEX(INDIRECT($K$1&amp;":"&amp;$K$2),C24,3)</f>
        <v>0</v>
      </c>
      <c r="H24" s="191" t="str">
        <f ca="1">INDEX(INDIRECT($K$1&amp;":"&amp;$K$2),C24,4)</f>
        <v>Y</v>
      </c>
    </row>
    <row r="25" spans="1:8">
      <c r="A25" s="243"/>
      <c r="B25" s="243"/>
      <c r="C25" s="9">
        <f>C24+1</f>
        <v>21</v>
      </c>
      <c r="D25" s="9">
        <f t="shared" ref="D25" si="4">D24+1</f>
        <v>2</v>
      </c>
      <c r="E25" s="189" t="str">
        <f ca="1">INDEX(INDIRECT($K$1&amp;":"&amp;$K$2),C25,1)</f>
        <v>Advanced Layer 2 and Layer 3 packet switching (MAC Based and IP Based)</v>
      </c>
      <c r="F25" s="9">
        <f ca="1">INDEX(INDIRECT($K$1&amp;":"&amp;$K$2),C25,2)</f>
        <v>3</v>
      </c>
      <c r="G25" s="192">
        <f ca="1">INDEX(INDIRECT($K$1&amp;":"&amp;$K$2),C25,3)</f>
        <v>0</v>
      </c>
      <c r="H25" s="193" t="str">
        <f ca="1">INDEX(INDIRECT($K$1&amp;":"&amp;$K$2),C25,4)</f>
        <v>Y</v>
      </c>
    </row>
    <row r="26" spans="1:8">
      <c r="A26" s="243"/>
      <c r="B26" s="243"/>
      <c r="C26" s="9"/>
      <c r="D26" s="9"/>
      <c r="E26" s="189"/>
      <c r="F26" s="9"/>
      <c r="G26" s="192"/>
      <c r="H26" s="193"/>
    </row>
    <row r="27" spans="1:8">
      <c r="A27" s="184">
        <v>6</v>
      </c>
      <c r="B27" s="185" t="str">
        <f>INDEX('Date Drivers'!$A$1:$B$381,Database_cortec!C28,2)</f>
        <v>PTP Support (Licensing)</v>
      </c>
      <c r="C27" s="186"/>
      <c r="D27" s="187">
        <v>2</v>
      </c>
      <c r="E27" s="188" t="str">
        <f ca="1">VLOOKUP(D27,D28:F29,2,FALSE)</f>
        <v>Without PTP (IEEE 1588v2) support</v>
      </c>
      <c r="F27" s="187" t="str">
        <f ca="1">VLOOKUP(D27,D28:F29,3,FALSE)</f>
        <v>X</v>
      </c>
      <c r="G27" s="187">
        <f ca="1">VLOOKUP(D27,D28:H29,4,FALSE)</f>
        <v>0</v>
      </c>
      <c r="H27" s="187" t="str">
        <f ca="1">VLOOKUP(D27,D28:H29,5,FALSE)</f>
        <v>Y</v>
      </c>
    </row>
    <row r="28" spans="1:8">
      <c r="A28" s="243"/>
      <c r="B28" s="243"/>
      <c r="C28" s="9">
        <f>MATCH(A27,'Date Drivers'!$A$1:$A$381,0)</f>
        <v>23</v>
      </c>
      <c r="D28" s="9">
        <v>1</v>
      </c>
      <c r="E28" s="189" t="str">
        <f ca="1">INDEX(INDIRECT($K$1&amp;":"&amp;$K$2),C28,1)</f>
        <v>With PTP (IEEE 1588v2) support</v>
      </c>
      <c r="F28" s="9" t="str">
        <f ca="1">INDEX(INDIRECT($K$1&amp;":"&amp;$K$2),C28,2)</f>
        <v>P</v>
      </c>
      <c r="G28" s="190">
        <f ca="1">INDEX(INDIRECT($K$1&amp;":"&amp;$K$2),C28,3)</f>
        <v>0</v>
      </c>
      <c r="H28" s="191" t="str">
        <f ca="1">INDEX(INDIRECT($K$1&amp;":"&amp;$K$2),C28,4)</f>
        <v>Y</v>
      </c>
    </row>
    <row r="29" spans="1:8">
      <c r="A29" s="243"/>
      <c r="B29" s="243"/>
      <c r="C29" s="9">
        <f>C28+1</f>
        <v>24</v>
      </c>
      <c r="D29" s="9">
        <f t="shared" ref="D29" si="5">D28+1</f>
        <v>2</v>
      </c>
      <c r="E29" s="189" t="str">
        <f ca="1">INDEX(INDIRECT($K$1&amp;":"&amp;$K$2),C29,1)</f>
        <v>Without PTP (IEEE 1588v2) support</v>
      </c>
      <c r="F29" s="9" t="str">
        <f ca="1">INDEX(INDIRECT($K$1&amp;":"&amp;$K$2),C29,2)</f>
        <v>X</v>
      </c>
      <c r="G29" s="192">
        <f ca="1">INDEX(INDIRECT($K$1&amp;":"&amp;$K$2),C29,3)</f>
        <v>0</v>
      </c>
      <c r="H29" s="193" t="str">
        <f ca="1">INDEX(INDIRECT($K$1&amp;":"&amp;$K$2),C29,4)</f>
        <v>Y</v>
      </c>
    </row>
    <row r="30" spans="1:8">
      <c r="A30" s="243"/>
      <c r="B30" s="243"/>
      <c r="C30" s="9"/>
      <c r="D30" s="9"/>
      <c r="E30" s="189"/>
      <c r="F30" s="9"/>
      <c r="G30" s="192"/>
      <c r="H30" s="193"/>
    </row>
    <row r="31" spans="1:8">
      <c r="A31" s="184">
        <v>7</v>
      </c>
      <c r="B31" s="197" t="str">
        <f>INDEX('Date Drivers'!$A$1:$B$381,Database_cortec!C32,2)</f>
        <v>Interface Module 1</v>
      </c>
      <c r="C31" s="186"/>
      <c r="D31" s="187">
        <v>2</v>
      </c>
      <c r="E31" s="188" t="str">
        <f ca="1">VLOOKUP(D31,D32:F44,2,FALSE)</f>
        <v>Four slots for SFP transceivers (up to 1 Gbps)</v>
      </c>
      <c r="F31" s="187" t="str">
        <f ca="1">VLOOKUP(D31,D32:F44,3,FALSE)</f>
        <v>B</v>
      </c>
      <c r="G31" s="187">
        <f ca="1">VLOOKUP(D31,D32:H44,4,FALSE)</f>
        <v>0</v>
      </c>
      <c r="H31" s="187" t="str">
        <f ca="1">VLOOKUP(D31,D32:H44,5,FALSE)</f>
        <v>Y</v>
      </c>
    </row>
    <row r="32" spans="1:8">
      <c r="A32" s="243"/>
      <c r="B32" s="243"/>
      <c r="C32" s="198">
        <f>MATCH(A31,'Date Drivers'!$A$1:$A$381,0)</f>
        <v>26</v>
      </c>
      <c r="D32" s="198">
        <v>1</v>
      </c>
      <c r="E32" s="189" t="str">
        <f t="shared" ref="E32:E43" ca="1" si="6">INDEX(INDIRECT($K$1&amp;":"&amp;$K$2),C32,1)</f>
        <v>Four 1 Gbps RJ45 copper 10/100BASE-TX/1000BASE-T Ethernet ports</v>
      </c>
      <c r="F32" s="198" t="str">
        <f ca="1">INDEX(INDIRECT($K$1&amp;":"&amp;$K$2),C32,2)</f>
        <v>A</v>
      </c>
      <c r="G32" s="190">
        <f ca="1">INDEX(INDIRECT($K$1&amp;":"&amp;$K$2),C32,3)</f>
        <v>0</v>
      </c>
      <c r="H32" s="191" t="str">
        <f ca="1">INDEX(INDIRECT($K$1&amp;":"&amp;$K$2),C32,4)</f>
        <v>Y</v>
      </c>
    </row>
    <row r="33" spans="1:8">
      <c r="A33" s="243"/>
      <c r="B33" s="243"/>
      <c r="C33" s="9">
        <f>C32+1</f>
        <v>27</v>
      </c>
      <c r="D33" s="9">
        <f t="shared" ref="C33:D43" si="7">D32+1</f>
        <v>2</v>
      </c>
      <c r="E33" s="189" t="str">
        <f ca="1">CONCATENATE(INDEX(INDIRECT($K$1&amp;":"&amp;$K$2),C33,1)," ",HLOOKUP(Language!$C$3,Language!$E$1:$Z480,68,FALSE))</f>
        <v>Four slots for SFP transceivers (up to 1 Gbps)</v>
      </c>
      <c r="F33" s="9" t="str">
        <f t="shared" ref="F33:F43" ca="1" si="8">INDEX(INDIRECT($K$1&amp;":"&amp;$K$2),C33,2)</f>
        <v>B</v>
      </c>
      <c r="G33" s="192">
        <f t="shared" ref="G33:G43" ca="1" si="9">INDEX(INDIRECT($K$1&amp;":"&amp;$K$2),C33,3)</f>
        <v>0</v>
      </c>
      <c r="H33" s="193" t="str">
        <f t="shared" ref="H33:H43" ca="1" si="10">INDEX(INDIRECT($K$1&amp;":"&amp;$K$2),C33,4)</f>
        <v>Y</v>
      </c>
    </row>
    <row r="34" spans="1:8">
      <c r="A34" s="243"/>
      <c r="B34" s="243"/>
      <c r="C34" s="9">
        <f t="shared" si="7"/>
        <v>28</v>
      </c>
      <c r="D34" s="9">
        <f t="shared" si="7"/>
        <v>3</v>
      </c>
      <c r="E34" s="189" t="str">
        <f t="shared" ca="1" si="6"/>
        <v>Four 1 Gbps LC-type SFP transceivers multi mode fiber 1000BASE-SX Ethernet for up to 0.5 km</v>
      </c>
      <c r="F34" s="9" t="str">
        <f t="shared" ca="1" si="8"/>
        <v>C</v>
      </c>
      <c r="G34" s="192">
        <f t="shared" ca="1" si="9"/>
        <v>0</v>
      </c>
      <c r="H34" s="193" t="str">
        <f t="shared" ca="1" si="10"/>
        <v>Y</v>
      </c>
    </row>
    <row r="35" spans="1:8">
      <c r="B35" s="243"/>
      <c r="C35" s="9">
        <f t="shared" si="7"/>
        <v>29</v>
      </c>
      <c r="D35" s="9">
        <f t="shared" si="7"/>
        <v>4</v>
      </c>
      <c r="E35" s="189" t="str">
        <f t="shared" ca="1" si="6"/>
        <v>Four 1 Gbps LC-type SFP transceivers single mode fiber 1000BASE-LX Ethernet for up to 20 km</v>
      </c>
      <c r="F35" s="9" t="str">
        <f t="shared" ca="1" si="8"/>
        <v>D</v>
      </c>
      <c r="G35" s="192">
        <f t="shared" ca="1" si="9"/>
        <v>0</v>
      </c>
      <c r="H35" s="193" t="str">
        <f t="shared" ca="1" si="10"/>
        <v>Y</v>
      </c>
    </row>
    <row r="36" spans="1:8">
      <c r="B36" s="243"/>
      <c r="C36" s="9">
        <f t="shared" si="7"/>
        <v>30</v>
      </c>
      <c r="D36" s="9">
        <f t="shared" si="7"/>
        <v>5</v>
      </c>
      <c r="E36" s="189" t="str">
        <f t="shared" ca="1" si="6"/>
        <v>Four 1 Gbps LC-type SFP transceivers single mode fiber 1000BASE-ZX Ethernet for up to 40 km</v>
      </c>
      <c r="F36" s="9" t="str">
        <f t="shared" ca="1" si="8"/>
        <v>E</v>
      </c>
      <c r="G36" s="192">
        <f t="shared" ca="1" si="9"/>
        <v>0</v>
      </c>
      <c r="H36" s="193" t="str">
        <f t="shared" ca="1" si="10"/>
        <v>Y</v>
      </c>
    </row>
    <row r="37" spans="1:8">
      <c r="B37" s="243"/>
      <c r="C37" s="9">
        <f t="shared" si="7"/>
        <v>31</v>
      </c>
      <c r="D37" s="9">
        <f t="shared" si="7"/>
        <v>6</v>
      </c>
      <c r="E37" s="189" t="str">
        <f t="shared" ca="1" si="6"/>
        <v>Four 1 Gbps LC-type SFP transceivers single mode fiber 1000BASE-ZX Ethernet for up to 80 km</v>
      </c>
      <c r="F37" s="9" t="str">
        <f t="shared" ca="1" si="8"/>
        <v>F</v>
      </c>
      <c r="G37" s="192">
        <f t="shared" ca="1" si="9"/>
        <v>0</v>
      </c>
      <c r="H37" s="193" t="str">
        <f t="shared" ca="1" si="10"/>
        <v>Y</v>
      </c>
    </row>
    <row r="38" spans="1:8">
      <c r="B38" s="243"/>
      <c r="C38" s="9">
        <f t="shared" si="7"/>
        <v>32</v>
      </c>
      <c r="D38" s="9">
        <f t="shared" si="7"/>
        <v>7</v>
      </c>
      <c r="E38" s="189" t="str">
        <f t="shared" ca="1" si="6"/>
        <v>Four 100 Mbps LC-type SFP transceivers multi mode fiber 100BASE-FX Ethernet for up to 2 km</v>
      </c>
      <c r="F38" s="9" t="str">
        <f t="shared" ca="1" si="8"/>
        <v>H</v>
      </c>
      <c r="G38" s="192">
        <f t="shared" ca="1" si="9"/>
        <v>0</v>
      </c>
      <c r="H38" s="193" t="str">
        <f t="shared" ca="1" si="10"/>
        <v>Y</v>
      </c>
    </row>
    <row r="39" spans="1:8">
      <c r="B39" s="243"/>
      <c r="C39" s="9">
        <f t="shared" si="7"/>
        <v>33</v>
      </c>
      <c r="D39" s="9">
        <f t="shared" si="7"/>
        <v>8</v>
      </c>
      <c r="E39" s="189" t="str">
        <f t="shared" ca="1" si="6"/>
        <v>Four RJ45 copper 10/100BASE-TX</v>
      </c>
      <c r="F39" s="9" t="str">
        <f t="shared" ca="1" si="8"/>
        <v>I</v>
      </c>
      <c r="G39" s="192">
        <f t="shared" ca="1" si="9"/>
        <v>0</v>
      </c>
      <c r="H39" s="193" t="str">
        <f t="shared" ca="1" si="10"/>
        <v>Y</v>
      </c>
    </row>
    <row r="40" spans="1:8">
      <c r="B40" s="243"/>
      <c r="C40" s="9">
        <f t="shared" si="7"/>
        <v>34</v>
      </c>
      <c r="D40" s="9">
        <f t="shared" si="7"/>
        <v>9</v>
      </c>
      <c r="E40" s="189" t="str">
        <f ca="1">CONCATENATE(INDEX(INDIRECT($K$1&amp;":"&amp;$K$2),C40,1)," ",HLOOKUP(Language!$C$3,Language!$E$1:$Z480,69,FALSE))</f>
        <v>Four 1 Gbps RJ45 SFP transceivers Ethernet 10/100BASE-TX/1000BASE-T 10/100BASE-TX/1000BASE-T</v>
      </c>
      <c r="F40" s="9" t="str">
        <f t="shared" ca="1" si="8"/>
        <v>J</v>
      </c>
      <c r="G40" s="192">
        <f t="shared" ca="1" si="9"/>
        <v>0</v>
      </c>
      <c r="H40" s="193" t="str">
        <f t="shared" ca="1" si="10"/>
        <v>Y</v>
      </c>
    </row>
    <row r="41" spans="1:8" ht="23">
      <c r="B41" s="243"/>
      <c r="C41" s="9">
        <f t="shared" si="7"/>
        <v>35</v>
      </c>
      <c r="D41" s="9">
        <f t="shared" si="7"/>
        <v>10</v>
      </c>
      <c r="E41" s="189" t="str">
        <f t="shared" ca="1" si="6"/>
        <v>Two 1 Gbps RJ45 SFP transceivers 10/100BASE-TX/1000BASE-T Ethernet ports + Two 1 Gbps LC-type SFP transceivers multi mode fiber 1000BASE-SX Ethernet for up to 0.5 km</v>
      </c>
      <c r="F41" s="9" t="str">
        <f t="shared" ca="1" si="8"/>
        <v>K</v>
      </c>
      <c r="G41" s="192">
        <f t="shared" ca="1" si="9"/>
        <v>0</v>
      </c>
      <c r="H41" s="193" t="str">
        <f t="shared" ca="1" si="10"/>
        <v>Y</v>
      </c>
    </row>
    <row r="42" spans="1:8" ht="23">
      <c r="B42" s="243"/>
      <c r="C42" s="9">
        <f t="shared" si="7"/>
        <v>36</v>
      </c>
      <c r="D42" s="9">
        <f t="shared" si="7"/>
        <v>11</v>
      </c>
      <c r="E42" s="189" t="str">
        <f t="shared" ca="1" si="6"/>
        <v>Two 1 Gbps RJ45 SFP transceivers 10/100BASE-TX/1000BASE-T Ethernet ports + Two 100 Mbps LC-type SFP transceivers multi mode fiber 100BASE-FX Ethernet for up to 2 km</v>
      </c>
      <c r="F42" s="9" t="str">
        <f t="shared" ca="1" si="8"/>
        <v>L</v>
      </c>
      <c r="G42" s="192">
        <f t="shared" ca="1" si="9"/>
        <v>0</v>
      </c>
      <c r="H42" s="193" t="str">
        <f t="shared" ca="1" si="10"/>
        <v>Y</v>
      </c>
    </row>
    <row r="43" spans="1:8" ht="23">
      <c r="B43" s="243"/>
      <c r="C43" s="9">
        <f t="shared" si="7"/>
        <v>37</v>
      </c>
      <c r="D43" s="9">
        <f t="shared" si="7"/>
        <v>12</v>
      </c>
      <c r="E43" s="189" t="str">
        <f t="shared" ca="1" si="6"/>
        <v>Two 1 Gbps LC-type SFP transceivers multi mode fiber 1000BASE-SX Ethernet for up to 0.5 km + Two 100 Mbps LC-type SFP transceivers multi mode fiber 100BASE-FX Ethernet for up to 2 km</v>
      </c>
      <c r="F43" s="9" t="str">
        <f t="shared" ca="1" si="8"/>
        <v>M</v>
      </c>
      <c r="G43" s="192">
        <f t="shared" ca="1" si="9"/>
        <v>0</v>
      </c>
      <c r="H43" s="193" t="str">
        <f t="shared" ca="1" si="10"/>
        <v>Y</v>
      </c>
    </row>
    <row r="44" spans="1:8">
      <c r="B44" s="243"/>
      <c r="C44" s="9"/>
      <c r="D44" s="9"/>
      <c r="E44" s="189"/>
      <c r="F44" s="9"/>
      <c r="G44" s="192"/>
      <c r="H44" s="193"/>
    </row>
    <row r="45" spans="1:8">
      <c r="C45" s="11"/>
      <c r="D45" s="11"/>
      <c r="E45" s="200"/>
      <c r="F45" s="11"/>
      <c r="G45" s="195"/>
      <c r="H45" s="196"/>
    </row>
    <row r="46" spans="1:8">
      <c r="A46" s="184">
        <v>8</v>
      </c>
      <c r="B46" s="197" t="str">
        <f>INDEX('Date Drivers'!$A$1:$B$381,Database_cortec!C47,2)</f>
        <v>Interface Module 2</v>
      </c>
      <c r="C46" s="186"/>
      <c r="D46" s="187">
        <v>1</v>
      </c>
      <c r="E46" s="188" t="str">
        <f ca="1">IF(OR($F$5=24,D46=2,D46&gt;6),VLOOKUP(D46,D47:F56,2,FALSE),E56)</f>
        <v>Not installed</v>
      </c>
      <c r="F46" s="187" t="str">
        <f ca="1">IF(OR($F$5=24,D46=2,D46&gt;6),VLOOKUP(D46,D47:F56,3,FALSE),F56)</f>
        <v>X</v>
      </c>
      <c r="G46" s="187">
        <f ca="1">VLOOKUP(D46,D47:H56,4,FALSE)</f>
        <v>0</v>
      </c>
      <c r="H46" s="187" t="str">
        <f ca="1">VLOOKUP(D46,D47:H56,5,FALSE)</f>
        <v>Y</v>
      </c>
    </row>
    <row r="47" spans="1:8">
      <c r="A47" s="243"/>
      <c r="B47" s="243"/>
      <c r="C47" s="198">
        <f>MATCH(A46,'Date Drivers'!$A$1:$A$381,0)</f>
        <v>42</v>
      </c>
      <c r="D47" s="198">
        <v>1</v>
      </c>
      <c r="E47" s="189" t="str">
        <f t="shared" ref="E47:E56" ca="1" si="11">INDEX(INDIRECT($K$1&amp;":"&amp;$K$2),C47,1)</f>
        <v>Four 1 Gbps RJ45 copper 10/100BASE-TX/1000BASE-T Ethernet ports</v>
      </c>
      <c r="F47" s="198" t="str">
        <f t="shared" ref="F47:F56" ca="1" si="12">INDEX(INDIRECT($K$1&amp;":"&amp;$K$2),C47,2)</f>
        <v>A</v>
      </c>
      <c r="G47" s="190">
        <f t="shared" ref="G47:G56" ca="1" si="13">INDEX(INDIRECT($K$1&amp;":"&amp;$K$2),C47,3)</f>
        <v>0</v>
      </c>
      <c r="H47" s="191" t="str">
        <f t="shared" ref="H47:H56" ca="1" si="14">INDEX(INDIRECT($K$1&amp;":"&amp;$K$2),C47,4)</f>
        <v>Y</v>
      </c>
    </row>
    <row r="48" spans="1:8">
      <c r="B48" s="243"/>
      <c r="C48" s="9">
        <f t="shared" ref="C48:D56" si="15">C47+1</f>
        <v>43</v>
      </c>
      <c r="D48" s="9">
        <f t="shared" si="15"/>
        <v>2</v>
      </c>
      <c r="E48" s="189" t="str">
        <f ca="1">CONCATENATE(INDEX(INDIRECT($K$1&amp;":"&amp;$K$2),C48,1)," (",HLOOKUP(Language!$C$3,Language!$E$1:$Z545,72,FALSE),")")</f>
        <v>Four slots for SFP transceivers (Up to 1 Gbps in the 24 ports model / Up to 100 Mbps in the 20 ports model)</v>
      </c>
      <c r="F48" s="9" t="str">
        <f t="shared" ca="1" si="12"/>
        <v>B</v>
      </c>
      <c r="G48" s="192">
        <f t="shared" ca="1" si="13"/>
        <v>0</v>
      </c>
      <c r="H48" s="193" t="str">
        <f t="shared" ca="1" si="14"/>
        <v>Y</v>
      </c>
    </row>
    <row r="49" spans="1:8">
      <c r="B49" s="243"/>
      <c r="C49" s="9">
        <f t="shared" si="15"/>
        <v>44</v>
      </c>
      <c r="D49" s="9">
        <f t="shared" si="15"/>
        <v>3</v>
      </c>
      <c r="E49" s="189" t="str">
        <f t="shared" ca="1" si="11"/>
        <v>Four 1 Gbps LC-type SFP transceivers multi mode fiber 1000BASE-SX Ethernet for up to 0.5 km</v>
      </c>
      <c r="F49" s="9" t="str">
        <f t="shared" ca="1" si="12"/>
        <v>C</v>
      </c>
      <c r="G49" s="192">
        <f t="shared" ca="1" si="13"/>
        <v>0</v>
      </c>
      <c r="H49" s="193" t="str">
        <f t="shared" ca="1" si="14"/>
        <v>Y</v>
      </c>
    </row>
    <row r="50" spans="1:8">
      <c r="B50" s="243"/>
      <c r="C50" s="9">
        <f t="shared" si="15"/>
        <v>45</v>
      </c>
      <c r="D50" s="9">
        <f t="shared" si="15"/>
        <v>4</v>
      </c>
      <c r="E50" s="189" t="str">
        <f t="shared" ca="1" si="11"/>
        <v>Four 1 Gbps LC-type SFP transceivers single mode fiber 1000BASE-LX Ethernet for up to 20 km</v>
      </c>
      <c r="F50" s="9" t="str">
        <f t="shared" ca="1" si="12"/>
        <v>D</v>
      </c>
      <c r="G50" s="192">
        <f t="shared" ca="1" si="13"/>
        <v>0</v>
      </c>
      <c r="H50" s="193" t="str">
        <f t="shared" ca="1" si="14"/>
        <v>Y</v>
      </c>
    </row>
    <row r="51" spans="1:8">
      <c r="B51" s="243"/>
      <c r="C51" s="9">
        <f t="shared" si="15"/>
        <v>46</v>
      </c>
      <c r="D51" s="9">
        <f t="shared" si="15"/>
        <v>5</v>
      </c>
      <c r="E51" s="189" t="str">
        <f t="shared" ca="1" si="11"/>
        <v>Four 1 Gbps LC-type SFP transceivers single mode fiber 1000BASE-ZX Ethernet for up to 40 km</v>
      </c>
      <c r="F51" s="9" t="str">
        <f t="shared" ca="1" si="12"/>
        <v>E</v>
      </c>
      <c r="G51" s="192">
        <f t="shared" ca="1" si="13"/>
        <v>0</v>
      </c>
      <c r="H51" s="193" t="str">
        <f t="shared" ca="1" si="14"/>
        <v>Y</v>
      </c>
    </row>
    <row r="52" spans="1:8">
      <c r="B52" s="243"/>
      <c r="C52" s="9">
        <f t="shared" si="15"/>
        <v>47</v>
      </c>
      <c r="D52" s="9">
        <f t="shared" si="15"/>
        <v>6</v>
      </c>
      <c r="E52" s="189" t="str">
        <f t="shared" ca="1" si="11"/>
        <v>Four 1 Gbps LC-type SFP transceivers single mode fiber 1000BASE-ZX Ethernet for up to 80 km</v>
      </c>
      <c r="F52" s="9" t="str">
        <f t="shared" ca="1" si="12"/>
        <v>F</v>
      </c>
      <c r="G52" s="192">
        <f t="shared" ca="1" si="13"/>
        <v>0</v>
      </c>
      <c r="H52" s="193" t="str">
        <f t="shared" ca="1" si="14"/>
        <v>Y</v>
      </c>
    </row>
    <row r="53" spans="1:8">
      <c r="B53" s="243"/>
      <c r="C53" s="9">
        <f t="shared" si="15"/>
        <v>48</v>
      </c>
      <c r="D53" s="9">
        <f t="shared" si="15"/>
        <v>7</v>
      </c>
      <c r="E53" s="189" t="str">
        <f t="shared" ca="1" si="11"/>
        <v>Four 100 Mbps LC-type SFP transceivers multi mode fiber 100BASE-FX Ethernet for up to 2 km</v>
      </c>
      <c r="F53" s="9" t="str">
        <f t="shared" ca="1" si="12"/>
        <v>H</v>
      </c>
      <c r="G53" s="192">
        <f t="shared" ca="1" si="13"/>
        <v>0</v>
      </c>
      <c r="H53" s="193" t="str">
        <f t="shared" ca="1" si="14"/>
        <v>Y</v>
      </c>
    </row>
    <row r="54" spans="1:8">
      <c r="B54" s="243"/>
      <c r="C54" s="9">
        <f t="shared" si="15"/>
        <v>49</v>
      </c>
      <c r="D54" s="9">
        <f t="shared" si="15"/>
        <v>8</v>
      </c>
      <c r="E54" s="189" t="str">
        <f t="shared" ca="1" si="11"/>
        <v>Four RJ45 copper 10/100BASE-TX</v>
      </c>
      <c r="F54" s="9" t="str">
        <f t="shared" ca="1" si="12"/>
        <v>I</v>
      </c>
      <c r="G54" s="192">
        <f t="shared" ca="1" si="13"/>
        <v>0</v>
      </c>
      <c r="H54" s="193" t="str">
        <f t="shared" ca="1" si="14"/>
        <v>Y</v>
      </c>
    </row>
    <row r="55" spans="1:8">
      <c r="B55" s="243"/>
      <c r="C55" s="9">
        <f t="shared" si="15"/>
        <v>50</v>
      </c>
      <c r="D55" s="9">
        <f>D54+1</f>
        <v>9</v>
      </c>
      <c r="E55" s="189" t="str">
        <f t="shared" ca="1" si="11"/>
        <v>Four 1 Gbps RJ45 SFP transceivers Ethernet 10/100BASE-TX/1000BASE-T</v>
      </c>
      <c r="F55" s="9" t="str">
        <f t="shared" ca="1" si="12"/>
        <v>J</v>
      </c>
      <c r="G55" s="192">
        <f t="shared" ca="1" si="13"/>
        <v>0</v>
      </c>
      <c r="H55" s="193" t="str">
        <f t="shared" ca="1" si="14"/>
        <v>Y</v>
      </c>
    </row>
    <row r="56" spans="1:8">
      <c r="B56" s="243"/>
      <c r="C56" s="9">
        <f t="shared" si="15"/>
        <v>51</v>
      </c>
      <c r="D56" s="9">
        <f>D55+1</f>
        <v>10</v>
      </c>
      <c r="E56" s="189" t="str">
        <f t="shared" ca="1" si="11"/>
        <v>Not installed</v>
      </c>
      <c r="F56" s="9" t="str">
        <f t="shared" ca="1" si="12"/>
        <v>X</v>
      </c>
      <c r="G56" s="192">
        <f t="shared" ca="1" si="13"/>
        <v>0</v>
      </c>
      <c r="H56" s="193" t="str">
        <f t="shared" ca="1" si="14"/>
        <v>Y</v>
      </c>
    </row>
    <row r="57" spans="1:8">
      <c r="B57" s="243"/>
      <c r="C57" s="9"/>
      <c r="D57" s="9"/>
      <c r="E57" s="189"/>
      <c r="F57" s="9"/>
      <c r="G57" s="195"/>
      <c r="H57" s="196"/>
    </row>
    <row r="58" spans="1:8">
      <c r="A58" s="184">
        <v>9</v>
      </c>
      <c r="B58" s="197" t="str">
        <f>INDEX('Date Drivers'!$A$1:$B$381,Database_cortec!C59,2)</f>
        <v>Interface Module 3</v>
      </c>
      <c r="C58" s="186"/>
      <c r="D58" s="187">
        <v>2</v>
      </c>
      <c r="E58" s="188" t="str">
        <f ca="1">IF(OR($F$5=24,D58=2,D58&gt;6),VLOOKUP(D58,D59:F68,2,FALSE),E68)</f>
        <v>Four slots for SFP transceivers (Up to 1 Gbps in the 24 ports model / Up to 100 Mbps in the 20 ports model)</v>
      </c>
      <c r="F58" s="187" t="str">
        <f ca="1">IF(OR($F$5=24,D58=2,D58&gt;6),VLOOKUP(D58,D59:F68,3,FALSE),F68)</f>
        <v>B</v>
      </c>
      <c r="G58" s="187">
        <f ca="1">VLOOKUP(D58,D59:H68,4,FALSE)</f>
        <v>0</v>
      </c>
      <c r="H58" s="187" t="str">
        <f ca="1">VLOOKUP(D58,D59:H68,5,FALSE)</f>
        <v>Y</v>
      </c>
    </row>
    <row r="59" spans="1:8">
      <c r="A59" s="243"/>
      <c r="B59" s="243"/>
      <c r="C59" s="198">
        <f>MATCH(A58,'Date Drivers'!$A$1:$A$381,0)</f>
        <v>53</v>
      </c>
      <c r="D59" s="1">
        <v>1</v>
      </c>
      <c r="E59" s="189" t="str">
        <f t="shared" ref="E59:E68" ca="1" si="16">INDEX(INDIRECT($K$1&amp;":"&amp;$K$2),C59,1)</f>
        <v>Four 1 Gbps RJ45 copper 10/100BASE-TX/1000BASE-T Ethernet ports</v>
      </c>
      <c r="F59" s="198" t="str">
        <f t="shared" ref="F59:F68" ca="1" si="17">INDEX(INDIRECT($K$1&amp;":"&amp;$K$2),C59,2)</f>
        <v>A</v>
      </c>
      <c r="G59" s="190">
        <f t="shared" ref="G59:G68" ca="1" si="18">INDEX(INDIRECT($K$1&amp;":"&amp;$K$2),C59,3)</f>
        <v>0</v>
      </c>
      <c r="H59" s="191" t="str">
        <f t="shared" ref="H59:H68" ca="1" si="19">INDEX(INDIRECT($K$1&amp;":"&amp;$K$2),C59,4)</f>
        <v>Y</v>
      </c>
    </row>
    <row r="60" spans="1:8">
      <c r="B60" s="243"/>
      <c r="C60" s="9">
        <f t="shared" ref="C60:D68" si="20">C59+1</f>
        <v>54</v>
      </c>
      <c r="D60" s="1">
        <f t="shared" si="20"/>
        <v>2</v>
      </c>
      <c r="E60" s="189" t="str">
        <f ca="1">CONCATENATE(INDEX(INDIRECT($K$1&amp;":"&amp;$K$2),C60,1)," (",HLOOKUP(Language!$C$3,Language!$E$1:$Z557,72,FALSE),")")</f>
        <v>Four slots for SFP transceivers (Up to 1 Gbps in the 24 ports model / Up to 100 Mbps in the 20 ports model)</v>
      </c>
      <c r="F60" s="9" t="str">
        <f t="shared" ca="1" si="17"/>
        <v>B</v>
      </c>
      <c r="G60" s="192">
        <f t="shared" ca="1" si="18"/>
        <v>0</v>
      </c>
      <c r="H60" s="193" t="str">
        <f t="shared" ca="1" si="19"/>
        <v>Y</v>
      </c>
    </row>
    <row r="61" spans="1:8">
      <c r="B61" s="243"/>
      <c r="C61" s="9">
        <f t="shared" si="20"/>
        <v>55</v>
      </c>
      <c r="D61" s="1">
        <f t="shared" si="20"/>
        <v>3</v>
      </c>
      <c r="E61" s="189" t="str">
        <f t="shared" ca="1" si="16"/>
        <v>Four 1 Gbps LC-type SFP transceivers multi mode fiber 1000BASE-SX Ethernet for up to 0.5 km</v>
      </c>
      <c r="F61" s="9" t="str">
        <f t="shared" ca="1" si="17"/>
        <v>C</v>
      </c>
      <c r="G61" s="192">
        <f t="shared" ca="1" si="18"/>
        <v>0</v>
      </c>
      <c r="H61" s="193" t="str">
        <f t="shared" ca="1" si="19"/>
        <v>Y</v>
      </c>
    </row>
    <row r="62" spans="1:8">
      <c r="B62" s="243"/>
      <c r="C62" s="9">
        <f t="shared" si="20"/>
        <v>56</v>
      </c>
      <c r="D62" s="1">
        <f t="shared" si="20"/>
        <v>4</v>
      </c>
      <c r="E62" s="189" t="str">
        <f t="shared" ca="1" si="16"/>
        <v>Four 1 Gbps LC-type SFP transceivers single mode fiber 1000BASE-LX Ethernet for up to 20 km</v>
      </c>
      <c r="F62" s="9" t="str">
        <f t="shared" ca="1" si="17"/>
        <v>D</v>
      </c>
      <c r="G62" s="192">
        <f t="shared" ca="1" si="18"/>
        <v>0</v>
      </c>
      <c r="H62" s="193" t="str">
        <f t="shared" ca="1" si="19"/>
        <v>Y</v>
      </c>
    </row>
    <row r="63" spans="1:8">
      <c r="B63" s="243"/>
      <c r="C63" s="9">
        <f t="shared" si="20"/>
        <v>57</v>
      </c>
      <c r="D63" s="1">
        <f t="shared" si="20"/>
        <v>5</v>
      </c>
      <c r="E63" s="189" t="str">
        <f t="shared" ca="1" si="16"/>
        <v>Four 1 Gbps LC-type SFP transceivers single mode fiber 1000BASE-ZX Ethernet for up to 40 km</v>
      </c>
      <c r="F63" s="9" t="str">
        <f t="shared" ca="1" si="17"/>
        <v>E</v>
      </c>
      <c r="G63" s="192">
        <f t="shared" ca="1" si="18"/>
        <v>0</v>
      </c>
      <c r="H63" s="193" t="str">
        <f t="shared" ca="1" si="19"/>
        <v>Y</v>
      </c>
    </row>
    <row r="64" spans="1:8">
      <c r="B64" s="243"/>
      <c r="C64" s="9">
        <f t="shared" si="20"/>
        <v>58</v>
      </c>
      <c r="D64" s="1">
        <f t="shared" si="20"/>
        <v>6</v>
      </c>
      <c r="E64" s="189" t="str">
        <f t="shared" ca="1" si="16"/>
        <v>Four 1 Gbps LC-type SFP transceivers single mode fiber 1000BASE-ZX Ethernet for up to 80 km</v>
      </c>
      <c r="F64" s="9" t="str">
        <f t="shared" ca="1" si="17"/>
        <v>F</v>
      </c>
      <c r="G64" s="192">
        <f t="shared" ca="1" si="18"/>
        <v>0</v>
      </c>
      <c r="H64" s="193" t="str">
        <f t="shared" ca="1" si="19"/>
        <v>Y</v>
      </c>
    </row>
    <row r="65" spans="1:8">
      <c r="B65" s="243"/>
      <c r="C65" s="9">
        <f t="shared" si="20"/>
        <v>59</v>
      </c>
      <c r="D65" s="1">
        <f t="shared" si="20"/>
        <v>7</v>
      </c>
      <c r="E65" s="189" t="str">
        <f t="shared" ca="1" si="16"/>
        <v>Four 100 Mbps LC-type SFP transceivers multi mode fiber 100BASE-FX Ethernet for up to 2 km</v>
      </c>
      <c r="F65" s="9" t="str">
        <f t="shared" ca="1" si="17"/>
        <v>H</v>
      </c>
      <c r="G65" s="192">
        <f t="shared" ca="1" si="18"/>
        <v>0</v>
      </c>
      <c r="H65" s="193" t="str">
        <f t="shared" ca="1" si="19"/>
        <v>Y</v>
      </c>
    </row>
    <row r="66" spans="1:8">
      <c r="C66" s="9">
        <f t="shared" si="20"/>
        <v>60</v>
      </c>
      <c r="D66" s="1">
        <f t="shared" si="20"/>
        <v>8</v>
      </c>
      <c r="E66" s="189" t="str">
        <f t="shared" ca="1" si="16"/>
        <v>Four RJ45 copper 10/100BASE-TX</v>
      </c>
      <c r="F66" s="9" t="str">
        <f t="shared" ca="1" si="17"/>
        <v>I</v>
      </c>
      <c r="G66" s="192">
        <f t="shared" ca="1" si="18"/>
        <v>0</v>
      </c>
      <c r="H66" s="193" t="str">
        <f t="shared" ca="1" si="19"/>
        <v>Y</v>
      </c>
    </row>
    <row r="67" spans="1:8">
      <c r="C67" s="9">
        <f t="shared" si="20"/>
        <v>61</v>
      </c>
      <c r="D67" s="1">
        <f>D66+1</f>
        <v>9</v>
      </c>
      <c r="E67" s="189" t="str">
        <f t="shared" ca="1" si="16"/>
        <v>Four 1 Gbps RJ45 SFP transceivers Ethernet 10/100BASE-TX/1000BASE-T</v>
      </c>
      <c r="F67" s="9" t="str">
        <f t="shared" ca="1" si="17"/>
        <v>J</v>
      </c>
      <c r="G67" s="192">
        <f t="shared" ca="1" si="18"/>
        <v>0</v>
      </c>
      <c r="H67" s="193" t="str">
        <f t="shared" ca="1" si="19"/>
        <v>Y</v>
      </c>
    </row>
    <row r="68" spans="1:8">
      <c r="C68" s="9">
        <f t="shared" si="20"/>
        <v>62</v>
      </c>
      <c r="D68" s="1">
        <f>D67+1</f>
        <v>10</v>
      </c>
      <c r="E68" s="189" t="str">
        <f t="shared" ca="1" si="16"/>
        <v>Not installed</v>
      </c>
      <c r="F68" s="9" t="str">
        <f t="shared" ca="1" si="17"/>
        <v>X</v>
      </c>
      <c r="G68" s="192">
        <f t="shared" ca="1" si="18"/>
        <v>0</v>
      </c>
      <c r="H68" s="193" t="str">
        <f t="shared" ca="1" si="19"/>
        <v>Y</v>
      </c>
    </row>
    <row r="69" spans="1:8">
      <c r="C69" s="11"/>
      <c r="E69" s="200"/>
      <c r="F69" s="11"/>
      <c r="G69" s="195"/>
      <c r="H69" s="196"/>
    </row>
    <row r="70" spans="1:8">
      <c r="A70" s="184">
        <v>10</v>
      </c>
      <c r="B70" s="197" t="str">
        <f>INDEX('Date Drivers'!$A$1:$B$381,Database_cortec!C71,2)</f>
        <v>Interface Module 4</v>
      </c>
      <c r="C70" s="186"/>
      <c r="D70" s="187">
        <v>1</v>
      </c>
      <c r="E70" s="188" t="str">
        <f ca="1">IF(OR($F$5=24,D70=2,D70&gt;6),VLOOKUP(D70,D71:F80,2,FALSE),E80)</f>
        <v>Not installed</v>
      </c>
      <c r="F70" s="187" t="str">
        <f ca="1">IF(OR($F$5=24,D70=2,D70&gt;6),VLOOKUP(D70,D71:F80,3,FALSE),F80)</f>
        <v>X</v>
      </c>
      <c r="G70" s="187">
        <f ca="1">VLOOKUP(D70,D71:H80,4,FALSE)</f>
        <v>0</v>
      </c>
      <c r="H70" s="187" t="str">
        <f ca="1">VLOOKUP(D70,D71:H80,5,FALSE)</f>
        <v>Y</v>
      </c>
    </row>
    <row r="71" spans="1:8">
      <c r="A71" s="243"/>
      <c r="B71" s="243"/>
      <c r="C71" s="198">
        <f>MATCH(A70,'Date Drivers'!$A$1:$A$381,0)</f>
        <v>64</v>
      </c>
      <c r="D71" s="198">
        <v>1</v>
      </c>
      <c r="E71" s="189" t="str">
        <f t="shared" ref="E71:E80" ca="1" si="21">INDEX(INDIRECT($K$1&amp;":"&amp;$K$2),C71,1)</f>
        <v>Four 1 Gbps RJ45 copper 10/100BASE-TX/1000BASE-T Ethernet ports</v>
      </c>
      <c r="F71" s="198" t="str">
        <f t="shared" ref="F71:F80" ca="1" si="22">INDEX(INDIRECT($K$1&amp;":"&amp;$K$2),C71,2)</f>
        <v>A</v>
      </c>
      <c r="G71" s="190">
        <f t="shared" ref="G71:G80" ca="1" si="23">INDEX(INDIRECT($K$1&amp;":"&amp;$K$2),C71,3)</f>
        <v>0</v>
      </c>
      <c r="H71" s="191" t="str">
        <f t="shared" ref="H71:H80" ca="1" si="24">INDEX(INDIRECT($K$1&amp;":"&amp;$K$2),C71,4)</f>
        <v>Y</v>
      </c>
    </row>
    <row r="72" spans="1:8">
      <c r="B72" s="243"/>
      <c r="C72" s="9">
        <f t="shared" ref="C72:D80" si="25">C71+1</f>
        <v>65</v>
      </c>
      <c r="D72" s="1">
        <f t="shared" si="25"/>
        <v>2</v>
      </c>
      <c r="E72" s="189" t="str">
        <f ca="1">CONCATENATE(INDEX(INDIRECT($K$1&amp;":"&amp;$K$2),C72,1)," (",HLOOKUP(Language!$C$3,Language!$E$1:$Z569,72,FALSE),")")</f>
        <v>Four slots for SFP transceivers (Up to 1 Gbps in the 24 ports model / Up to 100 Mbps in the 20 ports model)</v>
      </c>
      <c r="F72" s="9" t="str">
        <f t="shared" ca="1" si="22"/>
        <v>B</v>
      </c>
      <c r="G72" s="192">
        <f t="shared" ca="1" si="23"/>
        <v>0</v>
      </c>
      <c r="H72" s="193" t="str">
        <f t="shared" ca="1" si="24"/>
        <v>Y</v>
      </c>
    </row>
    <row r="73" spans="1:8">
      <c r="B73" s="243"/>
      <c r="C73" s="9">
        <f t="shared" si="25"/>
        <v>66</v>
      </c>
      <c r="D73" s="1">
        <f t="shared" si="25"/>
        <v>3</v>
      </c>
      <c r="E73" s="189" t="str">
        <f t="shared" ca="1" si="21"/>
        <v>Four 1 Gbps LC-type SFP transceivers multi mode fiber 1000BASE-SX Ethernet for up to 0.5 km</v>
      </c>
      <c r="F73" s="9" t="str">
        <f t="shared" ca="1" si="22"/>
        <v>C</v>
      </c>
      <c r="G73" s="192">
        <f t="shared" ca="1" si="23"/>
        <v>0</v>
      </c>
      <c r="H73" s="193" t="str">
        <f t="shared" ca="1" si="24"/>
        <v>Y</v>
      </c>
    </row>
    <row r="74" spans="1:8">
      <c r="B74" s="243"/>
      <c r="C74" s="9">
        <f t="shared" si="25"/>
        <v>67</v>
      </c>
      <c r="D74" s="1">
        <f t="shared" si="25"/>
        <v>4</v>
      </c>
      <c r="E74" s="189" t="str">
        <f t="shared" ca="1" si="21"/>
        <v>Four 1 Gbps LC-type SFP transceivers single mode fiber 1000BASE-LX Ethernet for up to 20 km</v>
      </c>
      <c r="F74" s="9" t="str">
        <f t="shared" ca="1" si="22"/>
        <v>D</v>
      </c>
      <c r="G74" s="192">
        <f t="shared" ca="1" si="23"/>
        <v>0</v>
      </c>
      <c r="H74" s="193" t="str">
        <f t="shared" ca="1" si="24"/>
        <v>Y</v>
      </c>
    </row>
    <row r="75" spans="1:8">
      <c r="B75" s="243"/>
      <c r="C75" s="9">
        <f t="shared" si="25"/>
        <v>68</v>
      </c>
      <c r="D75" s="1">
        <f t="shared" si="25"/>
        <v>5</v>
      </c>
      <c r="E75" s="189" t="str">
        <f t="shared" ca="1" si="21"/>
        <v>Four 1 Gbps LC-type SFP transceivers single mode fiber 1000BASE-ZX Ethernet for up to 40 km</v>
      </c>
      <c r="F75" s="9" t="str">
        <f t="shared" ca="1" si="22"/>
        <v>E</v>
      </c>
      <c r="G75" s="192">
        <f t="shared" ca="1" si="23"/>
        <v>0</v>
      </c>
      <c r="H75" s="193" t="str">
        <f t="shared" ca="1" si="24"/>
        <v>Y</v>
      </c>
    </row>
    <row r="76" spans="1:8">
      <c r="B76" s="243"/>
      <c r="C76" s="9">
        <f t="shared" si="25"/>
        <v>69</v>
      </c>
      <c r="D76" s="1">
        <f t="shared" si="25"/>
        <v>6</v>
      </c>
      <c r="E76" s="189" t="str">
        <f t="shared" ca="1" si="21"/>
        <v>Four 1 Gbps LC-type SFP transceivers single mode fiber 1000BASE-ZX Ethernet for up to 80 km</v>
      </c>
      <c r="F76" s="9" t="str">
        <f t="shared" ca="1" si="22"/>
        <v>F</v>
      </c>
      <c r="G76" s="192">
        <f t="shared" ca="1" si="23"/>
        <v>0</v>
      </c>
      <c r="H76" s="193" t="str">
        <f t="shared" ca="1" si="24"/>
        <v>Y</v>
      </c>
    </row>
    <row r="77" spans="1:8">
      <c r="B77" s="243"/>
      <c r="C77" s="9">
        <f t="shared" si="25"/>
        <v>70</v>
      </c>
      <c r="D77" s="1">
        <f t="shared" si="25"/>
        <v>7</v>
      </c>
      <c r="E77" s="189" t="str">
        <f t="shared" ca="1" si="21"/>
        <v>Four 100 Mbps LC-type SFP transceivers multi mode fiber 100BASE-FX Ethernet for up to 2 km</v>
      </c>
      <c r="F77" s="9" t="str">
        <f t="shared" ca="1" si="22"/>
        <v>H</v>
      </c>
      <c r="G77" s="192">
        <f t="shared" ca="1" si="23"/>
        <v>0</v>
      </c>
      <c r="H77" s="193" t="str">
        <f t="shared" ca="1" si="24"/>
        <v>Y</v>
      </c>
    </row>
    <row r="78" spans="1:8">
      <c r="B78" s="243"/>
      <c r="C78" s="9">
        <f t="shared" si="25"/>
        <v>71</v>
      </c>
      <c r="D78" s="1">
        <f t="shared" si="25"/>
        <v>8</v>
      </c>
      <c r="E78" s="189" t="str">
        <f t="shared" ca="1" si="21"/>
        <v>Four RJ45 copper 10/100BASE-TX</v>
      </c>
      <c r="F78" s="9" t="str">
        <f t="shared" ca="1" si="22"/>
        <v>I</v>
      </c>
      <c r="G78" s="192">
        <f t="shared" ca="1" si="23"/>
        <v>0</v>
      </c>
      <c r="H78" s="193" t="str">
        <f t="shared" ca="1" si="24"/>
        <v>Y</v>
      </c>
    </row>
    <row r="79" spans="1:8">
      <c r="B79" s="243"/>
      <c r="C79" s="9">
        <f t="shared" si="25"/>
        <v>72</v>
      </c>
      <c r="D79" s="1">
        <f>D78+1</f>
        <v>9</v>
      </c>
      <c r="E79" s="189" t="str">
        <f t="shared" ca="1" si="21"/>
        <v>Four 1 Gbps RJ45 SFP transceivers Ethernet 10/100BASE-TX/1000BASE-T</v>
      </c>
      <c r="F79" s="9" t="str">
        <f t="shared" ca="1" si="22"/>
        <v>J</v>
      </c>
      <c r="G79" s="192">
        <f t="shared" ca="1" si="23"/>
        <v>0</v>
      </c>
      <c r="H79" s="193" t="str">
        <f t="shared" ca="1" si="24"/>
        <v>Y</v>
      </c>
    </row>
    <row r="80" spans="1:8">
      <c r="B80" s="243"/>
      <c r="C80" s="9">
        <f t="shared" si="25"/>
        <v>73</v>
      </c>
      <c r="D80" s="1">
        <f>D79+1</f>
        <v>10</v>
      </c>
      <c r="E80" s="189" t="str">
        <f t="shared" ca="1" si="21"/>
        <v>Not installed</v>
      </c>
      <c r="F80" s="9" t="str">
        <f t="shared" ca="1" si="22"/>
        <v>X</v>
      </c>
      <c r="G80" s="192">
        <f t="shared" ca="1" si="23"/>
        <v>0</v>
      </c>
      <c r="H80" s="193" t="str">
        <f t="shared" ca="1" si="24"/>
        <v>Y</v>
      </c>
    </row>
    <row r="81" spans="1:8">
      <c r="C81" s="11"/>
      <c r="D81" s="11"/>
      <c r="E81" s="200"/>
      <c r="F81" s="11"/>
      <c r="G81" s="195"/>
      <c r="H81" s="196"/>
    </row>
    <row r="82" spans="1:8">
      <c r="A82" s="184">
        <v>11</v>
      </c>
      <c r="B82" s="197" t="str">
        <f>INDEX('Date Drivers'!$A$1:$B$381,Database_cortec!C83,2)</f>
        <v>Interface Module 5</v>
      </c>
      <c r="C82" s="186"/>
      <c r="D82" s="187">
        <v>1</v>
      </c>
      <c r="E82" s="188" t="str">
        <f ca="1">IF(OR($F$5=24,D82=2,D82&gt;6),VLOOKUP(D82,D83:F92,2,FALSE),E92)</f>
        <v>Not installed</v>
      </c>
      <c r="F82" s="187" t="str">
        <f ca="1">IF(OR($F$5=24,D82=2,D82&gt;6),VLOOKUP(D82,D83:F92,3,FALSE),F92)</f>
        <v>X</v>
      </c>
      <c r="G82" s="187">
        <f ca="1">VLOOKUP(D82,D83:H93,4,FALSE)</f>
        <v>0</v>
      </c>
      <c r="H82" s="187" t="str">
        <f ca="1">VLOOKUP(D82,D83:H93,5,FALSE)</f>
        <v>Y</v>
      </c>
    </row>
    <row r="83" spans="1:8">
      <c r="A83" s="201"/>
      <c r="B83" s="180"/>
      <c r="C83" s="198">
        <f>MATCH(A82,'Date Drivers'!$A$1:$A$381,0)</f>
        <v>75</v>
      </c>
      <c r="D83" s="198">
        <v>1</v>
      </c>
      <c r="E83" s="189" t="str">
        <f t="shared" ref="E83:E92" ca="1" si="26">INDEX(INDIRECT($K$1&amp;":"&amp;$K$2),C83,1)</f>
        <v>Four 1 Gbps RJ45 copper 10/100BASE-TX/1000BASE-T Ethernet ports</v>
      </c>
      <c r="F83" s="9" t="str">
        <f t="shared" ref="F83:F92" ca="1" si="27">INDEX(INDIRECT($K$1&amp;":"&amp;$K$2),C83,2)</f>
        <v>A</v>
      </c>
      <c r="G83" s="190">
        <f t="shared" ref="G83:G92" ca="1" si="28">INDEX(INDIRECT($K$1&amp;":"&amp;$K$2),C83,3)</f>
        <v>0</v>
      </c>
      <c r="H83" s="191" t="str">
        <f t="shared" ref="H83:H92" ca="1" si="29">INDEX(INDIRECT($K$1&amp;":"&amp;$K$2),C83,4)</f>
        <v>Y</v>
      </c>
    </row>
    <row r="84" spans="1:8">
      <c r="A84" s="201"/>
      <c r="B84" s="180"/>
      <c r="C84" s="9">
        <f t="shared" ref="C84:D92" si="30">C83+1</f>
        <v>76</v>
      </c>
      <c r="D84" s="9">
        <f t="shared" si="30"/>
        <v>2</v>
      </c>
      <c r="E84" s="189" t="str">
        <f ca="1">CONCATENATE(INDEX(INDIRECT($K$1&amp;":"&amp;$K$2),C84,1)," (",HLOOKUP(Language!$C$3,Language!$E$1:$Z581,72,FALSE),")")</f>
        <v>Four slots for SFP transceivers (Up to 1 Gbps in the 24 ports model / Up to 100 Mbps in the 20 ports model)</v>
      </c>
      <c r="F84" s="9" t="str">
        <f t="shared" ca="1" si="27"/>
        <v>B</v>
      </c>
      <c r="G84" s="192">
        <f t="shared" ca="1" si="28"/>
        <v>0</v>
      </c>
      <c r="H84" s="193" t="str">
        <f t="shared" ca="1" si="29"/>
        <v>Y</v>
      </c>
    </row>
    <row r="85" spans="1:8">
      <c r="A85" s="201"/>
      <c r="B85" s="180"/>
      <c r="C85" s="9">
        <f t="shared" si="30"/>
        <v>77</v>
      </c>
      <c r="D85" s="9">
        <f t="shared" si="30"/>
        <v>3</v>
      </c>
      <c r="E85" s="189" t="str">
        <f t="shared" ca="1" si="26"/>
        <v>Four 1 Gbps LC-type SFP transceivers multi mode fiber 1000BASE-SX Ethernet for up to 0.5 km</v>
      </c>
      <c r="F85" s="9" t="str">
        <f t="shared" ca="1" si="27"/>
        <v>C</v>
      </c>
      <c r="G85" s="192">
        <f t="shared" ca="1" si="28"/>
        <v>0</v>
      </c>
      <c r="H85" s="193" t="str">
        <f t="shared" ca="1" si="29"/>
        <v>Y</v>
      </c>
    </row>
    <row r="86" spans="1:8">
      <c r="A86" s="201"/>
      <c r="B86" s="180"/>
      <c r="C86" s="9">
        <f t="shared" si="30"/>
        <v>78</v>
      </c>
      <c r="D86" s="9">
        <f t="shared" si="30"/>
        <v>4</v>
      </c>
      <c r="E86" s="189" t="str">
        <f t="shared" ca="1" si="26"/>
        <v>Four 1 Gbps LC-type SFP transceivers single mode fiber 1000BASE-LX Ethernet for up to 20 km</v>
      </c>
      <c r="F86" s="9" t="str">
        <f t="shared" ca="1" si="27"/>
        <v>D</v>
      </c>
      <c r="G86" s="192">
        <f t="shared" ca="1" si="28"/>
        <v>0</v>
      </c>
      <c r="H86" s="193" t="str">
        <f t="shared" ca="1" si="29"/>
        <v>Y</v>
      </c>
    </row>
    <row r="87" spans="1:8">
      <c r="A87" s="201"/>
      <c r="B87" s="180"/>
      <c r="C87" s="9">
        <f t="shared" si="30"/>
        <v>79</v>
      </c>
      <c r="D87" s="9">
        <f t="shared" si="30"/>
        <v>5</v>
      </c>
      <c r="E87" s="189" t="str">
        <f t="shared" ca="1" si="26"/>
        <v>Four 1 Gbps LC-type SFP transceivers single mode fiber 1000BASE-ZX Ethernet for up to 40 km</v>
      </c>
      <c r="F87" s="9" t="str">
        <f t="shared" ca="1" si="27"/>
        <v>E</v>
      </c>
      <c r="G87" s="192">
        <f t="shared" ca="1" si="28"/>
        <v>0</v>
      </c>
      <c r="H87" s="193" t="str">
        <f t="shared" ca="1" si="29"/>
        <v>Y</v>
      </c>
    </row>
    <row r="88" spans="1:8">
      <c r="A88" s="201"/>
      <c r="B88" s="180"/>
      <c r="C88" s="9">
        <f t="shared" si="30"/>
        <v>80</v>
      </c>
      <c r="D88" s="9">
        <f t="shared" si="30"/>
        <v>6</v>
      </c>
      <c r="E88" s="189" t="str">
        <f t="shared" ca="1" si="26"/>
        <v>Four 1 Gbps LC-type SFP transceivers single mode fiber 1000BASE-ZX Ethernet for up to 80 km</v>
      </c>
      <c r="F88" s="9" t="str">
        <f t="shared" ca="1" si="27"/>
        <v>F</v>
      </c>
      <c r="G88" s="192">
        <f t="shared" ca="1" si="28"/>
        <v>0</v>
      </c>
      <c r="H88" s="193" t="str">
        <f t="shared" ca="1" si="29"/>
        <v>Y</v>
      </c>
    </row>
    <row r="89" spans="1:8">
      <c r="A89" s="201"/>
      <c r="B89" s="180"/>
      <c r="C89" s="9">
        <f t="shared" si="30"/>
        <v>81</v>
      </c>
      <c r="D89" s="9">
        <f t="shared" si="30"/>
        <v>7</v>
      </c>
      <c r="E89" s="189" t="str">
        <f t="shared" ca="1" si="26"/>
        <v>Four 100 Mbps LC-type SFP transceivers multi mode fiber 100BASE-FX Ethernet for up to 2 km</v>
      </c>
      <c r="F89" s="9" t="str">
        <f t="shared" ca="1" si="27"/>
        <v>H</v>
      </c>
      <c r="G89" s="192">
        <f t="shared" ca="1" si="28"/>
        <v>0</v>
      </c>
      <c r="H89" s="193" t="str">
        <f t="shared" ca="1" si="29"/>
        <v>Y</v>
      </c>
    </row>
    <row r="90" spans="1:8">
      <c r="A90" s="201"/>
      <c r="B90" s="180"/>
      <c r="C90" s="9">
        <f t="shared" si="30"/>
        <v>82</v>
      </c>
      <c r="D90" s="9">
        <f t="shared" si="30"/>
        <v>8</v>
      </c>
      <c r="E90" s="189" t="str">
        <f t="shared" ca="1" si="26"/>
        <v>Four RJ45 copper 10/100BASE-TX</v>
      </c>
      <c r="F90" s="9" t="str">
        <f t="shared" ca="1" si="27"/>
        <v>I</v>
      </c>
      <c r="G90" s="192">
        <f t="shared" ca="1" si="28"/>
        <v>0</v>
      </c>
      <c r="H90" s="193" t="str">
        <f t="shared" ca="1" si="29"/>
        <v>Y</v>
      </c>
    </row>
    <row r="91" spans="1:8">
      <c r="A91" s="201"/>
      <c r="B91" s="180"/>
      <c r="C91" s="9">
        <f t="shared" si="30"/>
        <v>83</v>
      </c>
      <c r="D91" s="9">
        <f>D90+1</f>
        <v>9</v>
      </c>
      <c r="E91" s="189" t="str">
        <f t="shared" ca="1" si="26"/>
        <v>Four 1 Gbps RJ45 SFP transceivers Ethernet 10/100BASE-TX/1000BASE-T</v>
      </c>
      <c r="F91" s="9" t="str">
        <f t="shared" ca="1" si="27"/>
        <v>J</v>
      </c>
      <c r="G91" s="192">
        <f t="shared" ca="1" si="28"/>
        <v>0</v>
      </c>
      <c r="H91" s="193" t="str">
        <f t="shared" ca="1" si="29"/>
        <v>Y</v>
      </c>
    </row>
    <row r="92" spans="1:8">
      <c r="A92" s="201"/>
      <c r="B92" s="180"/>
      <c r="C92" s="9">
        <f t="shared" si="30"/>
        <v>84</v>
      </c>
      <c r="D92" s="9">
        <f>D91+1</f>
        <v>10</v>
      </c>
      <c r="E92" s="189" t="str">
        <f t="shared" ca="1" si="26"/>
        <v>Not installed</v>
      </c>
      <c r="F92" s="9" t="str">
        <f t="shared" ca="1" si="27"/>
        <v>X</v>
      </c>
      <c r="G92" s="192">
        <f t="shared" ca="1" si="28"/>
        <v>0</v>
      </c>
      <c r="H92" s="193" t="str">
        <f t="shared" ca="1" si="29"/>
        <v>Y</v>
      </c>
    </row>
    <row r="93" spans="1:8">
      <c r="A93" s="201"/>
      <c r="B93" s="180"/>
      <c r="C93" s="9"/>
      <c r="D93" s="9"/>
      <c r="E93" s="202"/>
      <c r="F93" s="9"/>
      <c r="G93" s="195"/>
      <c r="H93" s="196"/>
    </row>
    <row r="94" spans="1:8">
      <c r="A94" s="184">
        <v>12</v>
      </c>
      <c r="B94" s="197" t="str">
        <f>CONCATENATE(INDEX('Date Drivers'!$A$1:$B$381,Database_cortec!C95,2)," (",HLOOKUP(Language!$C$3,Language!$E$1:$Z532,71,FALSE),")")</f>
        <v>Interface Module 6 (Only available in the 24 ports model)</v>
      </c>
      <c r="C94" s="186"/>
      <c r="D94" s="187">
        <v>8</v>
      </c>
      <c r="E94" s="188" t="str">
        <f ca="1">IF($F$5=24,VLOOKUP(D94,D95:F104,2,FALSE),E104)</f>
        <v>Not installed</v>
      </c>
      <c r="F94" s="187" t="str">
        <f ca="1">IF($F$5=24,VLOOKUP(D94,D95:F104,3,FALSE),F104)</f>
        <v>X</v>
      </c>
      <c r="G94" s="187">
        <f ca="1">VLOOKUP(D94,D95:H105,4,FALSE)</f>
        <v>0</v>
      </c>
      <c r="H94" s="187" t="str">
        <f ca="1">VLOOKUP(D94,D95:H105,5,FALSE)</f>
        <v>Y</v>
      </c>
    </row>
    <row r="95" spans="1:8">
      <c r="A95" s="201"/>
      <c r="B95" s="180"/>
      <c r="C95" s="198">
        <f>MATCH(A94,'Date Drivers'!$A$1:$A$381,0)</f>
        <v>86</v>
      </c>
      <c r="D95" s="198">
        <v>1</v>
      </c>
      <c r="E95" s="189" t="str">
        <f t="shared" ref="E95:E104" ca="1" si="31">INDEX(INDIRECT($K$1&amp;":"&amp;$K$2),C95,1)</f>
        <v>Four 1 Gbps RJ45 copper 10/100BASE-TX/1000BASE-T Ethernet ports</v>
      </c>
      <c r="F95" s="198" t="str">
        <f t="shared" ref="F95:F104" ca="1" si="32">INDEX(INDIRECT($K$1&amp;":"&amp;$K$2),C95,2)</f>
        <v>A</v>
      </c>
      <c r="G95" s="190">
        <f t="shared" ref="G95:G104" ca="1" si="33">INDEX(INDIRECT($K$1&amp;":"&amp;$K$2),C95,3)</f>
        <v>0</v>
      </c>
      <c r="H95" s="191" t="str">
        <f t="shared" ref="H95:H104" ca="1" si="34">INDEX(INDIRECT($K$1&amp;":"&amp;$K$2),C95,4)</f>
        <v>Y</v>
      </c>
    </row>
    <row r="96" spans="1:8">
      <c r="A96" s="201"/>
      <c r="B96" s="180"/>
      <c r="C96" s="9">
        <f>C95+1</f>
        <v>87</v>
      </c>
      <c r="D96" s="9">
        <f>D95+1</f>
        <v>2</v>
      </c>
      <c r="E96" s="189" t="str">
        <f ca="1">CONCATENATE(INDEX(INDIRECT($K$1&amp;":"&amp;$K$2),C96,1)," ",HLOOKUP(Language!$C$3,Language!$E$1:$Z543,68,FALSE))</f>
        <v>Four slots for SFP transceivers (up to 1 Gbps)</v>
      </c>
      <c r="F96" s="9" t="str">
        <f t="shared" ca="1" si="32"/>
        <v>B</v>
      </c>
      <c r="G96" s="192">
        <f t="shared" ca="1" si="33"/>
        <v>0</v>
      </c>
      <c r="H96" s="193" t="str">
        <f t="shared" ca="1" si="34"/>
        <v>Y</v>
      </c>
    </row>
    <row r="97" spans="1:12">
      <c r="A97" s="201"/>
      <c r="B97" s="180"/>
      <c r="C97" s="9">
        <f t="shared" ref="C97:D104" si="35">C96+1</f>
        <v>88</v>
      </c>
      <c r="D97" s="9">
        <f t="shared" si="35"/>
        <v>3</v>
      </c>
      <c r="E97" s="189" t="str">
        <f t="shared" ca="1" si="31"/>
        <v>Four 1 Gbps LC-type SFP transceivers multi mode fiber 1000BASE-SX Ethernet for up to 0.5 km</v>
      </c>
      <c r="F97" s="9" t="str">
        <f t="shared" ca="1" si="32"/>
        <v>C</v>
      </c>
      <c r="G97" s="192">
        <f t="shared" ca="1" si="33"/>
        <v>0</v>
      </c>
      <c r="H97" s="193" t="str">
        <f t="shared" ca="1" si="34"/>
        <v>Y</v>
      </c>
    </row>
    <row r="98" spans="1:12">
      <c r="A98" s="201"/>
      <c r="B98" s="180"/>
      <c r="C98" s="9">
        <f t="shared" si="35"/>
        <v>89</v>
      </c>
      <c r="D98" s="9">
        <f t="shared" si="35"/>
        <v>4</v>
      </c>
      <c r="E98" s="189" t="str">
        <f t="shared" ca="1" si="31"/>
        <v>Four 1 Gbps LC-type SFP transceivers single mode fiber 1000BASE-LX Ethernet for up to 20 km</v>
      </c>
      <c r="F98" s="9" t="str">
        <f t="shared" ca="1" si="32"/>
        <v>D</v>
      </c>
      <c r="G98" s="192">
        <f t="shared" ca="1" si="33"/>
        <v>0</v>
      </c>
      <c r="H98" s="193" t="str">
        <f t="shared" ca="1" si="34"/>
        <v>Y</v>
      </c>
    </row>
    <row r="99" spans="1:12">
      <c r="A99" s="201"/>
      <c r="B99" s="180"/>
      <c r="C99" s="9">
        <f t="shared" si="35"/>
        <v>90</v>
      </c>
      <c r="D99" s="9">
        <f t="shared" si="35"/>
        <v>5</v>
      </c>
      <c r="E99" s="189" t="str">
        <f t="shared" ca="1" si="31"/>
        <v>Four 1 Gbps LC-type SFP transceivers single mode fiber 1000BASE-ZX Ethernet for up to 40 km</v>
      </c>
      <c r="F99" s="9" t="str">
        <f t="shared" ca="1" si="32"/>
        <v>E</v>
      </c>
      <c r="G99" s="192">
        <f t="shared" ca="1" si="33"/>
        <v>0</v>
      </c>
      <c r="H99" s="193" t="str">
        <f t="shared" ca="1" si="34"/>
        <v>Y</v>
      </c>
    </row>
    <row r="100" spans="1:12">
      <c r="A100" s="201"/>
      <c r="B100" s="180"/>
      <c r="C100" s="9">
        <f t="shared" si="35"/>
        <v>91</v>
      </c>
      <c r="D100" s="9">
        <f t="shared" si="35"/>
        <v>6</v>
      </c>
      <c r="E100" s="189" t="str">
        <f t="shared" ca="1" si="31"/>
        <v>Four 1 Gbps LC-type SFP transceivers single mode fiber 1000BASE-ZX Ethernet for up to 80 km</v>
      </c>
      <c r="F100" s="9" t="str">
        <f t="shared" ca="1" si="32"/>
        <v>F</v>
      </c>
      <c r="G100" s="192">
        <f t="shared" ca="1" si="33"/>
        <v>0</v>
      </c>
      <c r="H100" s="193" t="str">
        <f t="shared" ca="1" si="34"/>
        <v>Y</v>
      </c>
    </row>
    <row r="101" spans="1:12">
      <c r="A101" s="201"/>
      <c r="B101" s="180"/>
      <c r="C101" s="9">
        <f t="shared" si="35"/>
        <v>92</v>
      </c>
      <c r="D101" s="9">
        <f t="shared" si="35"/>
        <v>7</v>
      </c>
      <c r="E101" s="189" t="str">
        <f t="shared" ca="1" si="31"/>
        <v>Four 100 Mbps LC-type SFP transceivers multi mode fiber 100BASE-FX Ethernet for up to 2 km</v>
      </c>
      <c r="F101" s="9" t="str">
        <f t="shared" ca="1" si="32"/>
        <v>H</v>
      </c>
      <c r="G101" s="192">
        <f t="shared" ca="1" si="33"/>
        <v>0</v>
      </c>
      <c r="H101" s="193" t="str">
        <f t="shared" ca="1" si="34"/>
        <v>Y</v>
      </c>
    </row>
    <row r="102" spans="1:12">
      <c r="A102" s="201"/>
      <c r="B102" s="180"/>
      <c r="C102" s="9">
        <f t="shared" si="35"/>
        <v>93</v>
      </c>
      <c r="D102" s="9">
        <f t="shared" si="35"/>
        <v>8</v>
      </c>
      <c r="E102" s="189" t="str">
        <f ca="1">CONCATENATE(INDEX(INDIRECT($K$1&amp;":"&amp;$K$2),C102,1)," ",HLOOKUP(Language!$C$3,Language!$E$1:$Z542,69,FALSE))</f>
        <v>Four RJ45 copper 10/100BASE-TX 10/100BASE-TX/1000BASE-T</v>
      </c>
      <c r="F102" s="9" t="str">
        <f t="shared" ca="1" si="32"/>
        <v>I</v>
      </c>
      <c r="G102" s="192">
        <f t="shared" ca="1" si="33"/>
        <v>0</v>
      </c>
      <c r="H102" s="193" t="str">
        <f t="shared" ca="1" si="34"/>
        <v>Y</v>
      </c>
    </row>
    <row r="103" spans="1:12">
      <c r="A103" s="201"/>
      <c r="B103" s="180"/>
      <c r="C103" s="9">
        <f t="shared" si="35"/>
        <v>94</v>
      </c>
      <c r="D103" s="9">
        <f t="shared" si="35"/>
        <v>9</v>
      </c>
      <c r="E103" s="189" t="str">
        <f t="shared" ca="1" si="31"/>
        <v>Four 1 Gbps RJ45 SFP transceivers Ethernet 10/100BASE-TX/1000BASE-T</v>
      </c>
      <c r="F103" s="9" t="str">
        <f t="shared" ca="1" si="32"/>
        <v>J</v>
      </c>
      <c r="G103" s="192">
        <f t="shared" ca="1" si="33"/>
        <v>0</v>
      </c>
      <c r="H103" s="193" t="str">
        <f t="shared" ca="1" si="34"/>
        <v>Y</v>
      </c>
      <c r="J103" s="329"/>
      <c r="K103" s="329"/>
      <c r="L103" s="329"/>
    </row>
    <row r="104" spans="1:12">
      <c r="A104" s="201"/>
      <c r="B104" s="180"/>
      <c r="C104" s="9">
        <f t="shared" si="35"/>
        <v>95</v>
      </c>
      <c r="D104" s="9">
        <f t="shared" si="35"/>
        <v>10</v>
      </c>
      <c r="E104" s="189" t="str">
        <f t="shared" ca="1" si="31"/>
        <v>Not installed</v>
      </c>
      <c r="F104" s="9" t="str">
        <f t="shared" ca="1" si="32"/>
        <v>X</v>
      </c>
      <c r="G104" s="192">
        <f t="shared" ca="1" si="33"/>
        <v>0</v>
      </c>
      <c r="H104" s="193" t="str">
        <f t="shared" ca="1" si="34"/>
        <v>Y</v>
      </c>
      <c r="J104" s="329"/>
      <c r="K104" s="329"/>
      <c r="L104" s="329"/>
    </row>
    <row r="105" spans="1:12">
      <c r="A105" s="203"/>
      <c r="B105" s="204"/>
      <c r="C105" s="11"/>
      <c r="D105" s="11"/>
      <c r="E105" s="200"/>
      <c r="F105" s="11"/>
      <c r="G105" s="195"/>
      <c r="H105" s="196"/>
    </row>
    <row r="106" spans="1:12">
      <c r="A106" s="184">
        <v>13</v>
      </c>
      <c r="B106" s="197" t="str">
        <f>INDEX('Date Drivers'!$A$1:$B$381,Database_cortec!C107,2)</f>
        <v>Firmware Version</v>
      </c>
      <c r="C106" s="186"/>
      <c r="D106" s="187">
        <v>1</v>
      </c>
      <c r="E106" s="188" t="str">
        <f ca="1">VLOOKUP(D106,D107:H108,2,FALSE)</f>
        <v>Firmware release number 07</v>
      </c>
      <c r="F106" s="205" t="str">
        <f ca="1">VLOOKUP(D106,D107:H108,3,FALSE)</f>
        <v>07</v>
      </c>
      <c r="G106" s="187">
        <f ca="1">VLOOKUP(D106,D107:H108,4,FALSE)</f>
        <v>0</v>
      </c>
      <c r="H106" s="187" t="str">
        <f ca="1">VLOOKUP(D106,D107:H108,5,FALSE)</f>
        <v>Y</v>
      </c>
    </row>
    <row r="107" spans="1:12">
      <c r="A107" s="201"/>
      <c r="B107" s="180"/>
      <c r="C107" s="198">
        <f>MATCH(A106,'Date Drivers'!$A$1:$A$381,0)</f>
        <v>97</v>
      </c>
      <c r="D107" s="198">
        <v>1</v>
      </c>
      <c r="E107" s="199" t="str">
        <f ca="1">INDEX(INDIRECT($K$1&amp;":"&amp;$K$2),C107,1)</f>
        <v>Firmware release number 07</v>
      </c>
      <c r="F107" s="198" t="str">
        <f ca="1">INDEX(INDIRECT($K$1&amp;":"&amp;$K$2),C107,2)</f>
        <v>07</v>
      </c>
      <c r="G107" s="190">
        <f ca="1">INDEX(INDIRECT($K$1&amp;":"&amp;$K$2),C107,3)</f>
        <v>0</v>
      </c>
      <c r="H107" s="191" t="str">
        <f ca="1">INDEX(INDIRECT($K$1&amp;":"&amp;$K$2),C107,4)</f>
        <v>Y</v>
      </c>
    </row>
    <row r="108" spans="1:12">
      <c r="A108" s="201"/>
      <c r="B108" s="180"/>
      <c r="C108" s="9">
        <f>C107+1</f>
        <v>98</v>
      </c>
      <c r="D108" s="9">
        <f>D107+1</f>
        <v>2</v>
      </c>
      <c r="E108" s="189">
        <f ca="1">INDEX(INDIRECT($K$1&amp;":"&amp;$K$2),C108,1)</f>
        <v>0</v>
      </c>
      <c r="F108" s="9">
        <f ca="1">INDEX(INDIRECT($K$1&amp;":"&amp;$K$2),C108,2)</f>
        <v>0</v>
      </c>
      <c r="G108" s="192">
        <f ca="1">INDEX(INDIRECT($K$1&amp;":"&amp;$K$2),C108,3)</f>
        <v>0</v>
      </c>
      <c r="H108" s="193" t="s">
        <v>38</v>
      </c>
    </row>
    <row r="109" spans="1:12">
      <c r="A109" s="203"/>
      <c r="B109" s="204"/>
      <c r="C109" s="11"/>
      <c r="D109" s="11"/>
      <c r="E109" s="200"/>
      <c r="F109" s="9"/>
      <c r="G109" s="195"/>
      <c r="H109" s="196"/>
    </row>
    <row r="110" spans="1:12">
      <c r="A110" s="184">
        <v>14</v>
      </c>
      <c r="B110" s="197" t="str">
        <f>INDEX('Date Drivers'!$A$1:$B$381,Database_cortec!C111,2)</f>
        <v>Hardware Design Suffix</v>
      </c>
      <c r="C110" s="186"/>
      <c r="D110" s="210">
        <v>1</v>
      </c>
      <c r="E110" s="188" t="str">
        <f ca="1">VLOOKUP(D110,D111:H112,2,FALSE)</f>
        <v>Hardware C version</v>
      </c>
      <c r="F110" s="187" t="str">
        <f ca="1">VLOOKUP(D110,D111:H112,3,FALSE)</f>
        <v>C</v>
      </c>
      <c r="G110" s="187">
        <f ca="1">VLOOKUP(D110,D111:H112,4,FALSE)</f>
        <v>0</v>
      </c>
      <c r="H110" s="187" t="str">
        <f ca="1">VLOOKUP(D110,D111:H112,5,FALSE)</f>
        <v>Y</v>
      </c>
    </row>
    <row r="111" spans="1:12">
      <c r="A111" s="201"/>
      <c r="B111" s="180"/>
      <c r="C111" s="9">
        <f>MATCH(A110,'Date Drivers'!$A$1:$A$381,0)</f>
        <v>100</v>
      </c>
      <c r="D111" s="208">
        <v>1</v>
      </c>
      <c r="E111" s="209" t="str">
        <f ca="1">INDEX(INDIRECT($K$1&amp;":"&amp;$K$2),C111,1)</f>
        <v>Hardware C version</v>
      </c>
      <c r="F111" s="198" t="str">
        <f ca="1">INDEX(INDIRECT($K$1&amp;":"&amp;$K$2),C111,2)</f>
        <v>C</v>
      </c>
      <c r="G111" s="190">
        <f ca="1">INDEX(INDIRECT($K$1&amp;":"&amp;$K$2),C111,3)</f>
        <v>0</v>
      </c>
      <c r="H111" s="190" t="str">
        <f ca="1">INDEX(INDIRECT($K$1&amp;":"&amp;$K$2),C111,4)</f>
        <v>Y</v>
      </c>
    </row>
    <row r="112" spans="1:12">
      <c r="A112" s="201"/>
      <c r="B112" s="180"/>
      <c r="C112" s="9">
        <f>C111+1</f>
        <v>101</v>
      </c>
      <c r="D112" s="208">
        <v>2</v>
      </c>
      <c r="E112" s="209" t="str">
        <f ca="1">INDEX(INDIRECT($K$1&amp;":"&amp;$K$2),C112,1)</f>
        <v>Hardware B version</v>
      </c>
      <c r="F112" s="9" t="str">
        <f ca="1">INDEX(INDIRECT($K$1&amp;":"&amp;$K$2),C112,2)</f>
        <v>B</v>
      </c>
      <c r="G112" s="192">
        <f ca="1">INDEX(INDIRECT($K$1&amp;":"&amp;$K$2),C112,3)</f>
        <v>0</v>
      </c>
      <c r="H112" s="192" t="str">
        <f ca="1">INDEX(INDIRECT($K$1&amp;":"&amp;$K$2),C112,4)</f>
        <v>N</v>
      </c>
    </row>
    <row r="113" spans="1:10">
      <c r="A113" s="280"/>
      <c r="B113" s="281"/>
      <c r="C113" s="292">
        <f>C112+1</f>
        <v>102</v>
      </c>
      <c r="D113" s="293">
        <v>2</v>
      </c>
      <c r="E113" s="294" t="str">
        <f ca="1">INDEX(INDIRECT($K$1&amp;":"&amp;$K$2),C113,1)</f>
        <v>Alternate hardware release (Withdraw)</v>
      </c>
      <c r="F113" s="292" t="str">
        <f ca="1">INDEX(INDIRECT($K$1&amp;":"&amp;$K$2),C113,2)</f>
        <v>BL</v>
      </c>
      <c r="G113" s="295">
        <f ca="1">INDEX(INDIRECT($K$1&amp;":"&amp;$K$2),C113,3)</f>
        <v>0</v>
      </c>
      <c r="H113" s="295" t="str">
        <f ca="1">INDEX(INDIRECT($K$1&amp;":"&amp;$K$2),C113,4)</f>
        <v>N</v>
      </c>
      <c r="I113" s="296"/>
      <c r="J113" s="296"/>
    </row>
    <row r="114" spans="1:10">
      <c r="A114" s="274">
        <v>15</v>
      </c>
      <c r="B114" s="275" t="str">
        <f>INDEX('Date Drivers'!$A$1:$B$381,Database_cortec!C115,2)</f>
        <v>UL/CSA Recognized</v>
      </c>
      <c r="C114" s="276"/>
      <c r="D114" s="277">
        <v>1</v>
      </c>
      <c r="E114" s="278" t="str">
        <f ca="1">VLOOKUP(D114,D115:H116,2,FALSE)</f>
        <v>Yes</v>
      </c>
      <c r="F114" s="279">
        <f ca="1">VLOOKUP(D114,D115:H116,3,FALSE)</f>
        <v>1</v>
      </c>
      <c r="G114" s="277">
        <f ca="1">VLOOKUP(D114,D115:H116,4,FALSE)</f>
        <v>0</v>
      </c>
      <c r="H114" s="277" t="str">
        <f ca="1">VLOOKUP(D114,D115:H116,5,FALSE)</f>
        <v>Y</v>
      </c>
      <c r="I114" s="296"/>
      <c r="J114" s="296"/>
    </row>
    <row r="115" spans="1:10">
      <c r="A115" s="280"/>
      <c r="B115" s="281"/>
      <c r="C115" s="282">
        <f>MATCH(A114,'Date Drivers'!$A$1:$A$381,0)</f>
        <v>104</v>
      </c>
      <c r="D115" s="282">
        <v>1</v>
      </c>
      <c r="E115" s="283" t="str">
        <f ca="1">INDEX(INDIRECT($K$1&amp;":"&amp;$K$2),C115,1)</f>
        <v>Yes</v>
      </c>
      <c r="F115" s="282">
        <f ca="1">INDEX(INDIRECT($K$1&amp;":"&amp;$K$2),C115,2)</f>
        <v>1</v>
      </c>
      <c r="G115" s="284">
        <f ca="1">INDEX(INDIRECT($K$1&amp;":"&amp;$K$2),C115,3)</f>
        <v>0</v>
      </c>
      <c r="H115" s="285" t="str">
        <f ca="1">INDEX(INDIRECT($K$1&amp;":"&amp;$K$2),C115,4)</f>
        <v>Y</v>
      </c>
      <c r="I115" s="296"/>
      <c r="J115" s="296"/>
    </row>
    <row r="116" spans="1:10">
      <c r="A116" s="286"/>
      <c r="B116" s="287"/>
      <c r="C116" s="288">
        <f>C115+1</f>
        <v>105</v>
      </c>
      <c r="D116" s="288">
        <f>D115+1</f>
        <v>2</v>
      </c>
      <c r="E116" s="289" t="str">
        <f ca="1">INDEX(INDIRECT($K$1&amp;":"&amp;$K$2),C116,1)</f>
        <v>No</v>
      </c>
      <c r="F116" s="288">
        <f ca="1">INDEX(INDIRECT($K$1&amp;":"&amp;$K$2),C116,2)</f>
        <v>0</v>
      </c>
      <c r="G116" s="290">
        <f ca="1">INDEX(INDIRECT($K$1&amp;":"&amp;$K$2),C116,3)</f>
        <v>0</v>
      </c>
      <c r="H116" s="291" t="s">
        <v>38</v>
      </c>
      <c r="I116" s="296"/>
      <c r="J116" s="296"/>
    </row>
    <row r="117" spans="1:10">
      <c r="A117" s="297"/>
      <c r="B117" s="296"/>
      <c r="C117" s="297"/>
      <c r="D117" s="297"/>
      <c r="E117" s="298"/>
      <c r="F117" s="297"/>
      <c r="G117" s="299"/>
      <c r="H117" s="299"/>
      <c r="I117" s="296"/>
      <c r="J117" s="296"/>
    </row>
    <row r="118" spans="1:10">
      <c r="A118" s="297"/>
      <c r="B118" s="296"/>
      <c r="C118" s="297"/>
      <c r="D118" s="297"/>
      <c r="E118" s="298"/>
      <c r="F118" s="297"/>
      <c r="G118" s="299"/>
      <c r="H118" s="299"/>
      <c r="I118" s="296"/>
      <c r="J118" s="296"/>
    </row>
    <row r="119" spans="1:10">
      <c r="A119" s="297"/>
      <c r="B119" s="296"/>
      <c r="C119" s="297"/>
      <c r="D119" s="297"/>
      <c r="E119" s="298"/>
      <c r="F119" s="297"/>
      <c r="G119" s="299"/>
      <c r="H119" s="299"/>
      <c r="I119" s="296"/>
      <c r="J119" s="296"/>
    </row>
    <row r="120" spans="1:10">
      <c r="A120" s="297"/>
      <c r="B120" s="296"/>
      <c r="C120" s="297"/>
      <c r="D120" s="297"/>
      <c r="E120" s="298"/>
      <c r="F120" s="297"/>
      <c r="G120" s="299"/>
      <c r="H120" s="299"/>
      <c r="I120" s="296"/>
      <c r="J120" s="296"/>
    </row>
  </sheetData>
  <mergeCells count="2">
    <mergeCell ref="J103:L103"/>
    <mergeCell ref="J104:L104"/>
  </mergeCells>
  <pageMargins left="0.511811024" right="0.511811024" top="0.78740157499999996" bottom="0.78740157499999996" header="0.31496062000000002" footer="0.31496062000000002"/>
  <pageSetup paperSize="9" orientation="portrait" r:id="rId1"/>
  <ignoredErrors>
    <ignoredError sqref="E33 E4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6"/>
  <dimension ref="A1:AK106"/>
  <sheetViews>
    <sheetView zoomScale="115" zoomScaleNormal="115" workbookViewId="0">
      <pane xSplit="2" ySplit="1" topLeftCell="AD2" activePane="bottomRight" state="frozen"/>
      <selection pane="topRight" activeCell="C1" sqref="C1"/>
      <selection pane="bottomLeft" activeCell="A2" sqref="A2"/>
      <selection pane="bottomRight" activeCell="AK20" sqref="AK20"/>
    </sheetView>
  </sheetViews>
  <sheetFormatPr defaultColWidth="9.1796875" defaultRowHeight="11.5"/>
  <cols>
    <col min="1" max="1" width="5" style="3" customWidth="1"/>
    <col min="2" max="2" width="39.81640625" style="15" bestFit="1" customWidth="1"/>
    <col min="3" max="3" width="81.26953125" style="19" bestFit="1" customWidth="1"/>
    <col min="4" max="4" width="9.7265625" style="21" customWidth="1"/>
    <col min="5" max="5" width="9.7265625" style="89" customWidth="1"/>
    <col min="6" max="6" width="5.453125" style="21" customWidth="1"/>
    <col min="7" max="7" width="77.7265625" style="15" bestFit="1" customWidth="1"/>
    <col min="8" max="10" width="9.1796875" style="15"/>
    <col min="11" max="11" width="77.7265625" style="15" bestFit="1" customWidth="1"/>
    <col min="12" max="14" width="9.1796875" style="15"/>
    <col min="15" max="15" width="77.7265625" style="15" bestFit="1" customWidth="1"/>
    <col min="16" max="18" width="9.1796875" style="15"/>
    <col min="19" max="19" width="77.7265625" style="15" bestFit="1" customWidth="1"/>
    <col min="20" max="22" width="9.1796875" style="15"/>
    <col min="23" max="23" width="77.7265625" style="15" bestFit="1" customWidth="1"/>
    <col min="24" max="26" width="9.1796875" style="15"/>
    <col min="27" max="27" width="77.7265625" style="15" bestFit="1" customWidth="1"/>
    <col min="28" max="30" width="9.1796875" style="15"/>
    <col min="31" max="31" width="77.7265625" style="15" bestFit="1" customWidth="1"/>
    <col min="32" max="16384" width="9.1796875" style="15"/>
  </cols>
  <sheetData>
    <row r="1" spans="1:37">
      <c r="A1" s="142"/>
      <c r="B1" s="143" t="s">
        <v>69</v>
      </c>
      <c r="C1" s="144">
        <f>Database_configurator!$E$1</f>
        <v>45395</v>
      </c>
      <c r="D1" s="144"/>
      <c r="E1" s="144"/>
      <c r="F1" s="144"/>
      <c r="G1" s="144">
        <f>Database_configurator!$E$1</f>
        <v>45395</v>
      </c>
      <c r="H1" s="144"/>
      <c r="I1" s="144"/>
      <c r="J1" s="144"/>
      <c r="K1" s="144">
        <f>Database_configurator!$E$1</f>
        <v>45395</v>
      </c>
      <c r="L1" s="144"/>
      <c r="M1" s="144"/>
      <c r="N1" s="144"/>
      <c r="O1" s="144">
        <f>Database_configurator!$E$1</f>
        <v>45395</v>
      </c>
      <c r="P1" s="144"/>
      <c r="Q1" s="144"/>
      <c r="R1" s="144"/>
      <c r="S1" s="144">
        <f>Database_configurator!$E$1</f>
        <v>45395</v>
      </c>
      <c r="T1" s="144"/>
      <c r="U1" s="144"/>
      <c r="V1" s="144"/>
      <c r="W1" s="144">
        <f>Database_configurator!$E$1</f>
        <v>45395</v>
      </c>
      <c r="X1" s="144"/>
      <c r="Y1" s="144"/>
      <c r="Z1" s="144"/>
      <c r="AA1" s="144">
        <f>Database_configurator!$E$1</f>
        <v>45395</v>
      </c>
      <c r="AB1" s="144"/>
      <c r="AC1" s="144"/>
      <c r="AD1" s="144"/>
      <c r="AE1" s="144">
        <f>Database_configurator!$E$1</f>
        <v>45395</v>
      </c>
      <c r="AF1" s="144"/>
      <c r="AG1" s="144"/>
      <c r="AH1" s="144"/>
    </row>
    <row r="2" spans="1:37">
      <c r="A2" s="142"/>
      <c r="B2" s="143" t="s">
        <v>70</v>
      </c>
      <c r="C2" s="145">
        <v>43063</v>
      </c>
      <c r="D2" s="146"/>
      <c r="E2" s="146"/>
      <c r="F2" s="146"/>
      <c r="G2" s="145">
        <v>43348</v>
      </c>
      <c r="H2" s="146"/>
      <c r="I2" s="146"/>
      <c r="J2" s="146"/>
      <c r="K2" s="145">
        <v>43819</v>
      </c>
      <c r="L2" s="146"/>
      <c r="M2" s="146"/>
      <c r="N2" s="146"/>
      <c r="O2" s="145">
        <v>43930</v>
      </c>
      <c r="P2" s="146"/>
      <c r="Q2" s="146"/>
      <c r="R2" s="146"/>
      <c r="S2" s="145">
        <v>44166</v>
      </c>
      <c r="T2" s="146"/>
      <c r="U2" s="146"/>
      <c r="V2" s="146"/>
      <c r="W2" s="145">
        <v>44377</v>
      </c>
      <c r="X2" s="146"/>
      <c r="Y2" s="146"/>
      <c r="Z2" s="146"/>
      <c r="AA2" s="145">
        <v>45012</v>
      </c>
      <c r="AB2" s="146"/>
      <c r="AC2" s="146"/>
      <c r="AD2" s="146"/>
      <c r="AE2" s="145">
        <v>45395</v>
      </c>
      <c r="AF2" s="146"/>
      <c r="AG2" s="146"/>
      <c r="AH2" s="146"/>
    </row>
    <row r="3" spans="1:37">
      <c r="A3" s="147" t="s">
        <v>33</v>
      </c>
      <c r="B3" s="148" t="s">
        <v>34</v>
      </c>
      <c r="C3" s="149" t="s">
        <v>35</v>
      </c>
      <c r="D3" s="149" t="s">
        <v>36</v>
      </c>
      <c r="E3" s="149" t="s">
        <v>42</v>
      </c>
      <c r="F3" s="150" t="s">
        <v>37</v>
      </c>
      <c r="G3" s="149" t="s">
        <v>35</v>
      </c>
      <c r="H3" s="149" t="s">
        <v>36</v>
      </c>
      <c r="I3" s="149" t="s">
        <v>42</v>
      </c>
      <c r="J3" s="150" t="s">
        <v>37</v>
      </c>
      <c r="K3" s="149" t="s">
        <v>35</v>
      </c>
      <c r="L3" s="149" t="s">
        <v>36</v>
      </c>
      <c r="M3" s="149" t="s">
        <v>42</v>
      </c>
      <c r="N3" s="150" t="s">
        <v>37</v>
      </c>
      <c r="O3" s="149" t="s">
        <v>35</v>
      </c>
      <c r="P3" s="149" t="s">
        <v>36</v>
      </c>
      <c r="Q3" s="149" t="s">
        <v>42</v>
      </c>
      <c r="R3" s="150" t="s">
        <v>37</v>
      </c>
      <c r="S3" s="149" t="s">
        <v>35</v>
      </c>
      <c r="T3" s="149" t="s">
        <v>36</v>
      </c>
      <c r="U3" s="149" t="s">
        <v>42</v>
      </c>
      <c r="V3" s="150" t="s">
        <v>37</v>
      </c>
      <c r="W3" s="149" t="s">
        <v>35</v>
      </c>
      <c r="X3" s="149" t="s">
        <v>36</v>
      </c>
      <c r="Y3" s="149" t="s">
        <v>42</v>
      </c>
      <c r="Z3" s="150" t="s">
        <v>37</v>
      </c>
      <c r="AA3" s="149" t="s">
        <v>35</v>
      </c>
      <c r="AB3" s="149" t="s">
        <v>36</v>
      </c>
      <c r="AC3" s="149" t="s">
        <v>42</v>
      </c>
      <c r="AD3" s="150" t="s">
        <v>37</v>
      </c>
      <c r="AE3" s="149" t="s">
        <v>35</v>
      </c>
      <c r="AF3" s="149" t="s">
        <v>36</v>
      </c>
      <c r="AG3" s="149" t="s">
        <v>42</v>
      </c>
      <c r="AH3" s="150" t="s">
        <v>37</v>
      </c>
    </row>
    <row r="4" spans="1:37">
      <c r="A4" s="20"/>
      <c r="B4" s="151" t="str">
        <f>HLOOKUP(Language!$C$3,Language!$E$1:$Z450,9,FALSE)</f>
        <v>Model Type</v>
      </c>
      <c r="C4" s="152" t="str">
        <f>CONCATENATE(HLOOKUP(Language!$C$3,Language!$E$1:$Z450,11,FALSE)," ",HLOOKUP(Language!$C$3,Language!$E$1:$Z450,10,FALSE))</f>
        <v>S20 Industrial Managed Ethernet Switch</v>
      </c>
      <c r="D4" s="153"/>
      <c r="E4" s="153"/>
      <c r="F4" s="154"/>
      <c r="G4" s="152" t="str">
        <f>CONCATENATE(HLOOKUP(Language!$C$3,Language!$E$1:$Z450,11,FALSE)," ",HLOOKUP(Language!$C$3,Language!$E$1:$Z450,10,FALSE))</f>
        <v>S20 Industrial Managed Ethernet Switch</v>
      </c>
      <c r="H4" s="153"/>
      <c r="I4" s="153"/>
      <c r="J4" s="154"/>
      <c r="K4" s="152" t="str">
        <f>CONCATENATE(HLOOKUP(Language!$C$3,Language!$E$1:$Z450,11,FALSE)," ",HLOOKUP(Language!$C$3,Language!$E$1:$Z450,10,FALSE))</f>
        <v>S20 Industrial Managed Ethernet Switch</v>
      </c>
      <c r="L4" s="153"/>
      <c r="M4" s="153"/>
      <c r="N4" s="154"/>
      <c r="O4" s="152" t="str">
        <f>CONCATENATE(HLOOKUP(Language!$C$3,Language!$E$1:$Z450,11,FALSE)," ",HLOOKUP(Language!$C$3,Language!$E$1:$Z450,10,FALSE))</f>
        <v>S20 Industrial Managed Ethernet Switch</v>
      </c>
      <c r="P4" s="153"/>
      <c r="Q4" s="153"/>
      <c r="R4" s="154"/>
      <c r="S4" s="152" t="str">
        <f>CONCATENATE(HLOOKUP(Language!$C$3,Language!$E$1:$Z450,11,FALSE)," ",HLOOKUP(Language!$C$3,Language!$E$1:$Z450,10,FALSE))</f>
        <v>S20 Industrial Managed Ethernet Switch</v>
      </c>
      <c r="T4" s="153"/>
      <c r="U4" s="153"/>
      <c r="V4" s="154"/>
      <c r="W4" s="152" t="str">
        <f>CONCATENATE(HLOOKUP(Language!$C$3,Language!$E$1:$Z450,11,FALSE)," ",HLOOKUP(Language!$C$3,Language!$E$1:$Z450,10,FALSE))</f>
        <v>S20 Industrial Managed Ethernet Switch</v>
      </c>
      <c r="X4" s="153"/>
      <c r="Y4" s="153"/>
      <c r="Z4" s="154"/>
      <c r="AA4" s="152" t="str">
        <f>CONCATENATE(HLOOKUP(Language!$C$3,Language!$E$1:$Z450,11,FALSE)," ",HLOOKUP(Language!$C$3,Language!$E$1:$Z450,10,FALSE))</f>
        <v>S20 Industrial Managed Ethernet Switch</v>
      </c>
      <c r="AB4" s="153"/>
      <c r="AC4" s="153"/>
      <c r="AD4" s="154"/>
      <c r="AE4" s="152" t="str">
        <f>CONCATENATE(HLOOKUP(Language!$C$3,Language!$E$1:$Z450,11,FALSE)," ",HLOOKUP(Language!$C$3,Language!$E$1:$Z450,10,FALSE))</f>
        <v>S20 Industrial Managed Ethernet Switch</v>
      </c>
      <c r="AF4" s="153"/>
      <c r="AG4" s="153"/>
      <c r="AH4" s="154"/>
    </row>
    <row r="5" spans="1:37">
      <c r="A5" s="20"/>
      <c r="B5" s="155" t="s">
        <v>68</v>
      </c>
      <c r="C5" s="156" t="str">
        <f>HLOOKUP(Language!$C$3,Language!$E$1:$Z451,11,FALSE)</f>
        <v>S20</v>
      </c>
      <c r="D5" s="156"/>
      <c r="E5" s="157"/>
      <c r="F5" s="156" t="s">
        <v>38</v>
      </c>
      <c r="G5" s="156" t="str">
        <f>HLOOKUP(Language!$C$3,Language!$E$1:$Z451,11,FALSE)</f>
        <v>S20</v>
      </c>
      <c r="H5" s="156"/>
      <c r="I5" s="157"/>
      <c r="J5" s="156" t="s">
        <v>38</v>
      </c>
      <c r="K5" s="156" t="str">
        <f>HLOOKUP(Language!$C$3,Language!$E$1:$Z451,11,FALSE)</f>
        <v>S20</v>
      </c>
      <c r="L5" s="156"/>
      <c r="M5" s="157"/>
      <c r="N5" s="156" t="s">
        <v>38</v>
      </c>
      <c r="O5" s="156" t="str">
        <f>HLOOKUP(Language!$C$3,Language!$E$1:$Z451,11,FALSE)</f>
        <v>S20</v>
      </c>
      <c r="P5" s="156"/>
      <c r="Q5" s="157"/>
      <c r="R5" s="156" t="s">
        <v>38</v>
      </c>
      <c r="S5" s="156" t="str">
        <f>HLOOKUP(Language!$C$3,Language!$E$1:$Z451,11,FALSE)</f>
        <v>S20</v>
      </c>
      <c r="T5" s="156"/>
      <c r="U5" s="157"/>
      <c r="V5" s="156" t="s">
        <v>38</v>
      </c>
      <c r="W5" s="156" t="str">
        <f>HLOOKUP(Language!$C$3,Language!$E$1:$Z451,11,FALSE)</f>
        <v>S20</v>
      </c>
      <c r="X5" s="156"/>
      <c r="Y5" s="157"/>
      <c r="Z5" s="156" t="s">
        <v>38</v>
      </c>
      <c r="AA5" s="156" t="str">
        <f>HLOOKUP(Language!$C$3,Language!$E$1:$Z451,11,FALSE)</f>
        <v>S20</v>
      </c>
      <c r="AB5" s="156"/>
      <c r="AC5" s="157"/>
      <c r="AD5" s="156" t="s">
        <v>38</v>
      </c>
      <c r="AE5" s="156" t="str">
        <f>HLOOKUP(Language!$C$3,Language!$E$1:$Z451,11,FALSE)</f>
        <v>S20</v>
      </c>
      <c r="AF5" s="156"/>
      <c r="AG5" s="157"/>
      <c r="AH5" s="156" t="s">
        <v>38</v>
      </c>
    </row>
    <row r="6" spans="1:37">
      <c r="A6" s="158">
        <v>1</v>
      </c>
      <c r="B6" s="16" t="str">
        <f>HLOOKUP(Language!$C$3,Language!$E$1:$Z478,12,FALSE)</f>
        <v>Number of ports</v>
      </c>
      <c r="C6" s="219" t="str">
        <f>HLOOKUP(Language!$C$3,Language!$E$1:$Z484,13,FALSE)</f>
        <v>Up to 20 ports (4x Gigabit)</v>
      </c>
      <c r="D6" s="219">
        <v>20</v>
      </c>
      <c r="E6" s="219"/>
      <c r="F6" s="219" t="s">
        <v>38</v>
      </c>
      <c r="G6" s="219" t="str">
        <f>HLOOKUP(Language!$C$3,Language!$E$1:$Z484,13,FALSE)</f>
        <v>Up to 20 ports (4x Gigabit)</v>
      </c>
      <c r="H6" s="219">
        <v>20</v>
      </c>
      <c r="I6" s="219"/>
      <c r="J6" s="219" t="s">
        <v>38</v>
      </c>
      <c r="K6" s="219" t="str">
        <f>HLOOKUP(Language!$C$3,Language!$E$1:$Z484,13,FALSE)</f>
        <v>Up to 20 ports (4x Gigabit)</v>
      </c>
      <c r="L6" s="219">
        <v>20</v>
      </c>
      <c r="M6" s="219"/>
      <c r="N6" s="219" t="s">
        <v>38</v>
      </c>
      <c r="O6" s="219" t="str">
        <f>HLOOKUP(Language!$C$3,Language!$E$1:$Z484,13,FALSE)</f>
        <v>Up to 20 ports (4x Gigabit)</v>
      </c>
      <c r="P6" s="219">
        <v>20</v>
      </c>
      <c r="Q6" s="219"/>
      <c r="R6" s="219" t="s">
        <v>38</v>
      </c>
      <c r="S6" s="219" t="str">
        <f>HLOOKUP(Language!$C$3,Language!$E$1:$Z484,13,FALSE)</f>
        <v>Up to 20 ports (4x Gigabit)</v>
      </c>
      <c r="T6" s="219">
        <v>20</v>
      </c>
      <c r="U6" s="219"/>
      <c r="V6" s="219" t="s">
        <v>38</v>
      </c>
      <c r="W6" s="219" t="str">
        <f>HLOOKUP(Language!$C$3,Language!$E$1:$Z484,13,FALSE)</f>
        <v>Up to 20 ports (4x Gigabit)</v>
      </c>
      <c r="X6" s="219">
        <v>20</v>
      </c>
      <c r="Y6" s="219"/>
      <c r="Z6" s="219" t="s">
        <v>38</v>
      </c>
      <c r="AA6" s="219" t="str">
        <f>HLOOKUP(Language!$C$3,Language!$E$1:$Z484,13,FALSE)</f>
        <v>Up to 20 ports (4x Gigabit)</v>
      </c>
      <c r="AB6" s="219">
        <v>20</v>
      </c>
      <c r="AC6" s="219"/>
      <c r="AD6" s="219" t="s">
        <v>38</v>
      </c>
      <c r="AE6" s="219" t="str">
        <f>HLOOKUP(Language!$C$3,Language!$E$1:$Z484,13,FALSE)</f>
        <v>Up to 20 ports (4x Gigabit)</v>
      </c>
      <c r="AF6" s="219">
        <v>20</v>
      </c>
      <c r="AG6" s="219"/>
      <c r="AH6" s="219" t="s">
        <v>38</v>
      </c>
    </row>
    <row r="7" spans="1:37">
      <c r="A7" s="160"/>
      <c r="B7" s="17"/>
      <c r="C7" s="220" t="str">
        <f>HLOOKUP(Language!$C$3,Language!$E$1:$Z480,14,FALSE)</f>
        <v>Up to 24 Gigabit ports</v>
      </c>
      <c r="D7" s="220">
        <v>24</v>
      </c>
      <c r="E7" s="220"/>
      <c r="F7" s="220" t="s">
        <v>38</v>
      </c>
      <c r="G7" s="220" t="str">
        <f>HLOOKUP(Language!$C$3,Language!$E$1:$Z480,14,FALSE)</f>
        <v>Up to 24 Gigabit ports</v>
      </c>
      <c r="H7" s="220">
        <v>24</v>
      </c>
      <c r="I7" s="220"/>
      <c r="J7" s="220" t="s">
        <v>38</v>
      </c>
      <c r="K7" s="220" t="str">
        <f>HLOOKUP(Language!$C$3,Language!$E$1:$Z480,14,FALSE)</f>
        <v>Up to 24 Gigabit ports</v>
      </c>
      <c r="L7" s="220">
        <v>24</v>
      </c>
      <c r="M7" s="220"/>
      <c r="N7" s="220" t="s">
        <v>38</v>
      </c>
      <c r="O7" s="220" t="str">
        <f>HLOOKUP(Language!$C$3,Language!$E$1:$Z480,14,FALSE)</f>
        <v>Up to 24 Gigabit ports</v>
      </c>
      <c r="P7" s="220">
        <v>24</v>
      </c>
      <c r="Q7" s="220"/>
      <c r="R7" s="220" t="s">
        <v>38</v>
      </c>
      <c r="S7" s="220" t="str">
        <f>HLOOKUP(Language!$C$3,Language!$E$1:$Z480,14,FALSE)</f>
        <v>Up to 24 Gigabit ports</v>
      </c>
      <c r="T7" s="220">
        <v>24</v>
      </c>
      <c r="U7" s="220"/>
      <c r="V7" s="220" t="s">
        <v>38</v>
      </c>
      <c r="W7" s="220" t="str">
        <f>HLOOKUP(Language!$C$3,Language!$E$1:$Z480,14,FALSE)</f>
        <v>Up to 24 Gigabit ports</v>
      </c>
      <c r="X7" s="220">
        <v>24</v>
      </c>
      <c r="Y7" s="220"/>
      <c r="Z7" s="220" t="s">
        <v>38</v>
      </c>
      <c r="AA7" s="220" t="str">
        <f>HLOOKUP(Language!$C$3,Language!$E$1:$Z480,14,FALSE)</f>
        <v>Up to 24 Gigabit ports</v>
      </c>
      <c r="AB7" s="220">
        <v>24</v>
      </c>
      <c r="AC7" s="220"/>
      <c r="AD7" s="220" t="s">
        <v>38</v>
      </c>
      <c r="AE7" s="220" t="str">
        <f>HLOOKUP(Language!$C$3,Language!$E$1:$Z480,14,FALSE)</f>
        <v>Up to 24 Gigabit ports</v>
      </c>
      <c r="AF7" s="220">
        <v>24</v>
      </c>
      <c r="AG7" s="220"/>
      <c r="AH7" s="220" t="s">
        <v>38</v>
      </c>
    </row>
    <row r="8" spans="1:37">
      <c r="A8" s="162"/>
      <c r="B8" s="22"/>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row>
    <row r="9" spans="1:37">
      <c r="A9" s="158">
        <v>2</v>
      </c>
      <c r="B9" s="16" t="str">
        <f>HLOOKUP(Language!$C$3,Language!$E$1:$Z474,15,FALSE)</f>
        <v>Power Supply 1</v>
      </c>
      <c r="C9" s="219" t="str">
        <f>HLOOKUP(Language!$C$3,Language!$E$1:$Z480,18,FALSE)</f>
        <v>24-48 Vdc</v>
      </c>
      <c r="D9" s="219">
        <v>1</v>
      </c>
      <c r="E9" s="219"/>
      <c r="F9" s="219" t="s">
        <v>38</v>
      </c>
      <c r="G9" s="219" t="str">
        <f>HLOOKUP(Language!$C$3,Language!$E$1:$Z480,18,FALSE)</f>
        <v>24-48 Vdc</v>
      </c>
      <c r="H9" s="219">
        <v>1</v>
      </c>
      <c r="I9" s="219"/>
      <c r="J9" s="219" t="s">
        <v>38</v>
      </c>
      <c r="K9" s="219" t="str">
        <f>HLOOKUP(Language!$C$3,Language!$E$1:$Z480,18,FALSE)</f>
        <v>24-48 Vdc</v>
      </c>
      <c r="L9" s="219">
        <v>1</v>
      </c>
      <c r="M9" s="219"/>
      <c r="N9" s="219" t="s">
        <v>38</v>
      </c>
      <c r="O9" s="219" t="str">
        <f>HLOOKUP(Language!$C$3,Language!$E$1:$Z480,18,FALSE)</f>
        <v>24-48 Vdc</v>
      </c>
      <c r="P9" s="219">
        <v>1</v>
      </c>
      <c r="Q9" s="219"/>
      <c r="R9" s="219" t="s">
        <v>38</v>
      </c>
      <c r="S9" s="219" t="str">
        <f>HLOOKUP(Language!$C$3,Language!$E$1:$Z480,18,FALSE)</f>
        <v>24-48 Vdc</v>
      </c>
      <c r="T9" s="219">
        <v>1</v>
      </c>
      <c r="U9" s="219"/>
      <c r="V9" s="219" t="s">
        <v>38</v>
      </c>
      <c r="W9" s="219" t="str">
        <f>HLOOKUP(Language!$C$3,Language!$E$1:$Z480,18,FALSE)</f>
        <v>24-48 Vdc</v>
      </c>
      <c r="X9" s="219">
        <v>1</v>
      </c>
      <c r="Y9" s="219"/>
      <c r="Z9" s="219" t="s">
        <v>38</v>
      </c>
      <c r="AA9" s="219" t="str">
        <f>HLOOKUP(Language!$C$3,Language!$E$1:$Z480,104,FALSE)</f>
        <v>48 Vdc</v>
      </c>
      <c r="AB9" s="219">
        <v>1</v>
      </c>
      <c r="AC9" s="219"/>
      <c r="AD9" s="219" t="s">
        <v>38</v>
      </c>
      <c r="AE9" s="219" t="str">
        <f>HLOOKUP(Language!$C$3,Language!$E$1:$Z480,104,FALSE)</f>
        <v>48 Vdc</v>
      </c>
      <c r="AF9" s="219">
        <v>1</v>
      </c>
      <c r="AG9" s="219"/>
      <c r="AH9" s="219" t="s">
        <v>38</v>
      </c>
    </row>
    <row r="10" spans="1:37">
      <c r="A10" s="160"/>
      <c r="B10" s="17"/>
      <c r="C10" s="220" t="str">
        <f>HLOOKUP(Language!$C$3,Language!$E$1:$Z476,17,FALSE)</f>
        <v>125-250 Vdc / 110-240 Vac</v>
      </c>
      <c r="D10" s="220">
        <v>3</v>
      </c>
      <c r="E10" s="220"/>
      <c r="F10" s="220" t="s">
        <v>38</v>
      </c>
      <c r="G10" s="220" t="str">
        <f>HLOOKUP(Language!$C$3,Language!$E$1:$Z476,17,FALSE)</f>
        <v>125-250 Vdc / 110-240 Vac</v>
      </c>
      <c r="H10" s="220">
        <v>3</v>
      </c>
      <c r="I10" s="220"/>
      <c r="J10" s="220" t="s">
        <v>38</v>
      </c>
      <c r="K10" s="220" t="str">
        <f>HLOOKUP(Language!$C$3,Language!$E$1:$Z476,17,FALSE)</f>
        <v>125-250 Vdc / 110-240 Vac</v>
      </c>
      <c r="L10" s="220">
        <v>3</v>
      </c>
      <c r="M10" s="220"/>
      <c r="N10" s="220" t="s">
        <v>38</v>
      </c>
      <c r="O10" s="220" t="str">
        <f>HLOOKUP(Language!$C$3,Language!$E$1:$Z476,17,FALSE)</f>
        <v>125-250 Vdc / 110-240 Vac</v>
      </c>
      <c r="P10" s="220">
        <v>3</v>
      </c>
      <c r="Q10" s="220"/>
      <c r="R10" s="220" t="s">
        <v>38</v>
      </c>
      <c r="S10" s="220" t="str">
        <f>HLOOKUP(Language!$C$3,Language!$E$1:$Z476,17,FALSE)</f>
        <v>125-250 Vdc / 110-240 Vac</v>
      </c>
      <c r="T10" s="220">
        <v>3</v>
      </c>
      <c r="U10" s="220"/>
      <c r="V10" s="220" t="s">
        <v>38</v>
      </c>
      <c r="W10" s="220" t="str">
        <f>HLOOKUP(Language!$C$3,Language!$E$1:$Z476,17,FALSE)</f>
        <v>125-250 Vdc / 110-240 Vac</v>
      </c>
      <c r="X10" s="220">
        <v>3</v>
      </c>
      <c r="Y10" s="220"/>
      <c r="Z10" s="220" t="s">
        <v>38</v>
      </c>
      <c r="AA10" s="220" t="str">
        <f>HLOOKUP(Language!$C$3,Language!$E$1:$Z476,17,FALSE)</f>
        <v>125-250 Vdc / 110-240 Vac</v>
      </c>
      <c r="AB10" s="220">
        <v>3</v>
      </c>
      <c r="AC10" s="220"/>
      <c r="AD10" s="220" t="s">
        <v>38</v>
      </c>
      <c r="AE10" s="220" t="str">
        <f>HLOOKUP(Language!$C$3,Language!$E$1:$Z476,17,FALSE)</f>
        <v>125-250 Vdc / 110-240 Vac</v>
      </c>
      <c r="AF10" s="220">
        <v>3</v>
      </c>
      <c r="AG10" s="220"/>
      <c r="AH10" s="220" t="s">
        <v>38</v>
      </c>
    </row>
    <row r="11" spans="1:37">
      <c r="A11" s="160"/>
      <c r="B11" s="17"/>
      <c r="C11" s="220"/>
      <c r="D11" s="220"/>
      <c r="E11" s="220"/>
      <c r="F11" s="220"/>
      <c r="G11" s="220"/>
      <c r="H11" s="220"/>
      <c r="I11" s="220"/>
      <c r="J11" s="220"/>
      <c r="K11" s="220"/>
      <c r="L11" s="220"/>
      <c r="M11" s="220"/>
      <c r="N11" s="220"/>
      <c r="O11" s="220" t="str">
        <f>HLOOKUP(Language!$C$3,Language!$E$1:$Z477,85,FALSE)</f>
        <v>125-250 Vdc / 110-240 Vac (non UL recognized)</v>
      </c>
      <c r="P11" s="220">
        <v>4</v>
      </c>
      <c r="Q11" s="220"/>
      <c r="R11" s="220" t="s">
        <v>38</v>
      </c>
      <c r="S11" s="271" t="str">
        <f>HLOOKUP(Language!$C$3,Language!$E$1:$Z477,85,FALSE)</f>
        <v>125-250 Vdc / 110-240 Vac (non UL recognized)</v>
      </c>
      <c r="T11" s="271">
        <v>4</v>
      </c>
      <c r="U11" s="220"/>
      <c r="V11" s="220" t="s">
        <v>38</v>
      </c>
      <c r="W11" s="271" t="str">
        <f>HLOOKUP(Language!$C$3,Language!$E$1:$Z477,85,FALSE)</f>
        <v>125-250 Vdc / 110-240 Vac (non UL recognized)</v>
      </c>
      <c r="X11" s="271">
        <v>4</v>
      </c>
      <c r="Y11" s="220"/>
      <c r="Z11" s="220" t="s">
        <v>38</v>
      </c>
      <c r="AA11" s="271" t="str">
        <f>HLOOKUP(Language!$C$3,Language!$E$1:$Z477,85,FALSE)</f>
        <v>125-250 Vdc / 110-240 Vac (non UL recognized)</v>
      </c>
      <c r="AB11" s="271">
        <v>4</v>
      </c>
      <c r="AC11" s="220"/>
      <c r="AD11" s="220" t="s">
        <v>38</v>
      </c>
      <c r="AE11" s="271" t="str">
        <f>HLOOKUP(Language!$C$3,Language!$E$1:$Z477,85,FALSE)</f>
        <v>125-250 Vdc / 110-240 Vac (non UL recognized)</v>
      </c>
      <c r="AF11" s="271">
        <v>4</v>
      </c>
      <c r="AG11" s="220"/>
      <c r="AH11" s="220" t="s">
        <v>38</v>
      </c>
    </row>
    <row r="12" spans="1:37">
      <c r="A12" s="162"/>
      <c r="B12" s="22"/>
      <c r="C12" s="163"/>
      <c r="D12" s="163"/>
      <c r="E12" s="163"/>
      <c r="F12" s="163"/>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row>
    <row r="13" spans="1:37">
      <c r="A13" s="158">
        <v>3</v>
      </c>
      <c r="B13" s="16" t="str">
        <f>HLOOKUP(Language!$C$3,Language!$E$1:$Z450,16,FALSE)</f>
        <v>Power Supply 2</v>
      </c>
      <c r="C13" s="159" t="str">
        <f>HLOOKUP(Language!$C$3,Language!$E$1:$Z489,18,FALSE)</f>
        <v>24-48 Vdc</v>
      </c>
      <c r="D13" s="159">
        <v>1</v>
      </c>
      <c r="E13" s="159"/>
      <c r="F13" s="159" t="s">
        <v>38</v>
      </c>
      <c r="G13" s="219" t="str">
        <f>HLOOKUP(Language!$C$3,Language!$E$1:$Z489,18,FALSE)</f>
        <v>24-48 Vdc</v>
      </c>
      <c r="H13" s="219">
        <v>1</v>
      </c>
      <c r="I13" s="219"/>
      <c r="J13" s="219" t="s">
        <v>38</v>
      </c>
      <c r="K13" s="219" t="str">
        <f>HLOOKUP(Language!$C$3,Language!$E$1:$Z489,18,FALSE)</f>
        <v>24-48 Vdc</v>
      </c>
      <c r="L13" s="219">
        <v>1</v>
      </c>
      <c r="M13" s="219"/>
      <c r="N13" s="219" t="s">
        <v>38</v>
      </c>
      <c r="O13" s="219" t="str">
        <f>HLOOKUP(Language!$C$3,Language!$E$1:$Z489,18,FALSE)</f>
        <v>24-48 Vdc</v>
      </c>
      <c r="P13" s="219">
        <v>1</v>
      </c>
      <c r="Q13" s="219"/>
      <c r="R13" s="219" t="s">
        <v>38</v>
      </c>
      <c r="S13" s="219" t="str">
        <f>HLOOKUP(Language!$C$3,Language!$E$1:$Z489,18,FALSE)</f>
        <v>24-48 Vdc</v>
      </c>
      <c r="T13" s="219">
        <v>1</v>
      </c>
      <c r="U13" s="219"/>
      <c r="V13" s="219" t="s">
        <v>38</v>
      </c>
      <c r="W13" s="219" t="str">
        <f>HLOOKUP(Language!$C$3,Language!$E$1:$Z489,18,FALSE)</f>
        <v>24-48 Vdc</v>
      </c>
      <c r="X13" s="219">
        <v>1</v>
      </c>
      <c r="Y13" s="219"/>
      <c r="Z13" s="219" t="s">
        <v>38</v>
      </c>
      <c r="AA13" s="219" t="str">
        <f>HLOOKUP(Language!$C$3,Language!$E$1:$Z489,104,FALSE)</f>
        <v>48 Vdc</v>
      </c>
      <c r="AB13" s="219">
        <v>1</v>
      </c>
      <c r="AC13" s="219"/>
      <c r="AD13" s="219" t="s">
        <v>38</v>
      </c>
      <c r="AE13" s="219" t="str">
        <f>HLOOKUP(Language!$C$3,Language!$E$1:$Z489,104,FALSE)</f>
        <v>48 Vdc</v>
      </c>
      <c r="AF13" s="219">
        <v>1</v>
      </c>
      <c r="AG13" s="219"/>
      <c r="AH13" s="219" t="s">
        <v>38</v>
      </c>
    </row>
    <row r="14" spans="1:37">
      <c r="A14" s="160"/>
      <c r="B14" s="17"/>
      <c r="C14" s="161" t="str">
        <f>HLOOKUP(Language!$C$3,Language!$E$1:$Z485,17,FALSE)</f>
        <v>125-250 Vdc / 110-240 Vac</v>
      </c>
      <c r="D14" s="161">
        <v>3</v>
      </c>
      <c r="E14" s="161"/>
      <c r="F14" s="161" t="s">
        <v>38</v>
      </c>
      <c r="G14" s="220" t="str">
        <f>HLOOKUP(Language!$C$3,Language!$E$1:$Z485,17,FALSE)</f>
        <v>125-250 Vdc / 110-240 Vac</v>
      </c>
      <c r="H14" s="220">
        <v>3</v>
      </c>
      <c r="I14" s="220"/>
      <c r="J14" s="220" t="s">
        <v>38</v>
      </c>
      <c r="K14" s="220" t="str">
        <f>HLOOKUP(Language!$C$3,Language!$E$1:$Z485,17,FALSE)</f>
        <v>125-250 Vdc / 110-240 Vac</v>
      </c>
      <c r="L14" s="220">
        <v>3</v>
      </c>
      <c r="M14" s="220"/>
      <c r="N14" s="220" t="s">
        <v>38</v>
      </c>
      <c r="O14" s="220" t="str">
        <f>HLOOKUP(Language!$C$3,Language!$E$1:$Z485,17,FALSE)</f>
        <v>125-250 Vdc / 110-240 Vac</v>
      </c>
      <c r="P14" s="220">
        <v>3</v>
      </c>
      <c r="Q14" s="220"/>
      <c r="R14" s="220" t="s">
        <v>38</v>
      </c>
      <c r="S14" s="220" t="str">
        <f>HLOOKUP(Language!$C$3,Language!$E$1:$Z485,17,FALSE)</f>
        <v>125-250 Vdc / 110-240 Vac</v>
      </c>
      <c r="T14" s="220">
        <v>3</v>
      </c>
      <c r="U14" s="220"/>
      <c r="V14" s="220" t="s">
        <v>38</v>
      </c>
      <c r="W14" s="220" t="str">
        <f>HLOOKUP(Language!$C$3,Language!$E$1:$Z485,17,FALSE)</f>
        <v>125-250 Vdc / 110-240 Vac</v>
      </c>
      <c r="X14" s="220">
        <v>3</v>
      </c>
      <c r="Y14" s="220"/>
      <c r="Z14" s="220" t="s">
        <v>38</v>
      </c>
      <c r="AA14" s="220" t="str">
        <f>HLOOKUP(Language!$C$3,Language!$E$1:$Z485,17,FALSE)</f>
        <v>125-250 Vdc / 110-240 Vac</v>
      </c>
      <c r="AB14" s="220">
        <v>3</v>
      </c>
      <c r="AC14" s="220"/>
      <c r="AD14" s="220" t="s">
        <v>38</v>
      </c>
      <c r="AE14" s="220" t="str">
        <f>HLOOKUP(Language!$C$3,Language!$E$1:$Z485,17,FALSE)</f>
        <v>125-250 Vdc / 110-240 Vac</v>
      </c>
      <c r="AF14" s="220">
        <v>3</v>
      </c>
      <c r="AG14" s="220"/>
      <c r="AH14" s="220" t="s">
        <v>38</v>
      </c>
      <c r="AK14" s="15" t="s">
        <v>208</v>
      </c>
    </row>
    <row r="15" spans="1:37">
      <c r="A15" s="160"/>
      <c r="B15" s="17"/>
      <c r="C15" s="220"/>
      <c r="D15" s="220"/>
      <c r="E15" s="220"/>
      <c r="F15" s="220"/>
      <c r="G15" s="220"/>
      <c r="H15" s="220"/>
      <c r="I15" s="220"/>
      <c r="J15" s="220" t="s">
        <v>38</v>
      </c>
      <c r="K15" s="220" t="str">
        <f>HLOOKUP(Language!$C$3,Language!$E$1:$Z452,19,FALSE)</f>
        <v>Not installed</v>
      </c>
      <c r="L15" s="220" t="s">
        <v>27</v>
      </c>
      <c r="M15" s="220"/>
      <c r="N15" s="220"/>
      <c r="O15" s="220" t="str">
        <f>HLOOKUP(Language!$C$3,Language!$E$1:$Z481,85,FALSE)</f>
        <v>125-250 Vdc / 110-240 Vac (non UL recognized)</v>
      </c>
      <c r="P15" s="220">
        <v>4</v>
      </c>
      <c r="Q15" s="220"/>
      <c r="R15" s="220" t="s">
        <v>38</v>
      </c>
      <c r="S15" s="220" t="str">
        <f>HLOOKUP(Language!$C$3,Language!$E$1:$Z452,19,FALSE)</f>
        <v>Not installed</v>
      </c>
      <c r="T15" s="220" t="s">
        <v>27</v>
      </c>
      <c r="U15" s="220"/>
      <c r="V15" s="220" t="s">
        <v>38</v>
      </c>
      <c r="W15" s="220" t="str">
        <f>HLOOKUP(Language!$C$3,Language!$E$1:$Z452,19,FALSE)</f>
        <v>Not installed</v>
      </c>
      <c r="X15" s="220" t="s">
        <v>27</v>
      </c>
      <c r="Y15" s="220"/>
      <c r="Z15" s="220" t="s">
        <v>38</v>
      </c>
      <c r="AA15" s="220" t="str">
        <f>HLOOKUP(Language!$C$3,Language!$E$1:$Z452,19,FALSE)</f>
        <v>Not installed</v>
      </c>
      <c r="AB15" s="220" t="s">
        <v>27</v>
      </c>
      <c r="AC15" s="220"/>
      <c r="AD15" s="220" t="s">
        <v>38</v>
      </c>
      <c r="AE15" s="220" t="str">
        <f>HLOOKUP(Language!$C$3,Language!$E$1:$Z452,19,FALSE)</f>
        <v>Not installed</v>
      </c>
      <c r="AF15" s="220" t="s">
        <v>27</v>
      </c>
      <c r="AG15" s="220"/>
      <c r="AH15" s="220" t="s">
        <v>38</v>
      </c>
    </row>
    <row r="16" spans="1:37">
      <c r="A16" s="160"/>
      <c r="B16" s="17"/>
      <c r="C16" s="161" t="str">
        <f>HLOOKUP(Language!$C$3,Language!$E$1:$Z453,19,FALSE)</f>
        <v>Not installed</v>
      </c>
      <c r="D16" s="161" t="s">
        <v>27</v>
      </c>
      <c r="E16" s="161"/>
      <c r="F16" s="161" t="s">
        <v>38</v>
      </c>
      <c r="G16" s="220" t="str">
        <f>HLOOKUP(Language!$C$3,Language!$E$1:$Z453,19,FALSE)</f>
        <v>Not installed</v>
      </c>
      <c r="H16" s="220" t="s">
        <v>27</v>
      </c>
      <c r="I16" s="220"/>
      <c r="J16" s="220"/>
      <c r="K16" s="220"/>
      <c r="L16" s="220"/>
      <c r="M16" s="220"/>
      <c r="N16" s="220" t="s">
        <v>38</v>
      </c>
      <c r="O16" s="220" t="str">
        <f>HLOOKUP(Language!$C$3,Language!$E$1:$Z453,19,FALSE)</f>
        <v>Not installed</v>
      </c>
      <c r="P16" s="220" t="s">
        <v>27</v>
      </c>
      <c r="Q16" s="220"/>
      <c r="R16" s="220" t="s">
        <v>38</v>
      </c>
      <c r="S16" s="271" t="str">
        <f>HLOOKUP(Language!$C$3,Language!$E$1:$Z477,85,FALSE)</f>
        <v>125-250 Vdc / 110-240 Vac (non UL recognized)</v>
      </c>
      <c r="T16" s="271">
        <v>4</v>
      </c>
      <c r="U16" s="220"/>
      <c r="V16" s="220" t="s">
        <v>38</v>
      </c>
      <c r="W16" s="271" t="str">
        <f>HLOOKUP(Language!$C$3,Language!$E$1:$Z477,85,FALSE)</f>
        <v>125-250 Vdc / 110-240 Vac (non UL recognized)</v>
      </c>
      <c r="X16" s="271">
        <v>4</v>
      </c>
      <c r="Y16" s="220"/>
      <c r="Z16" s="220" t="s">
        <v>38</v>
      </c>
      <c r="AA16" s="271" t="str">
        <f>HLOOKUP(Language!$C$3,Language!$E$1:$Z477,85,FALSE)</f>
        <v>125-250 Vdc / 110-240 Vac (non UL recognized)</v>
      </c>
      <c r="AB16" s="271">
        <v>4</v>
      </c>
      <c r="AC16" s="220"/>
      <c r="AD16" s="220" t="s">
        <v>38</v>
      </c>
      <c r="AE16" s="271" t="str">
        <f>HLOOKUP(Language!$C$3,Language!$E$1:$Z477,85,FALSE)</f>
        <v>125-250 Vdc / 110-240 Vac (non UL recognized)</v>
      </c>
      <c r="AF16" s="271">
        <v>4</v>
      </c>
      <c r="AG16" s="220"/>
      <c r="AH16" s="220" t="s">
        <v>38</v>
      </c>
    </row>
    <row r="17" spans="1:34">
      <c r="A17" s="162"/>
      <c r="B17" s="22"/>
      <c r="C17" s="163"/>
      <c r="D17" s="163"/>
      <c r="E17" s="163"/>
      <c r="F17" s="163"/>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row>
    <row r="18" spans="1:34">
      <c r="A18" s="158">
        <v>4</v>
      </c>
      <c r="B18" s="16" t="str">
        <f>HLOOKUP(Language!$C$3,Language!$E$1:$Z454,20,FALSE)</f>
        <v>Mounting Options</v>
      </c>
      <c r="C18" s="159" t="str">
        <f>HLOOKUP(Language!$C$3,Language!$E$1:$Z456,21,FALSE)</f>
        <v>19” Rack Mount / Rear Mount</v>
      </c>
      <c r="D18" s="159" t="s">
        <v>61</v>
      </c>
      <c r="E18" s="159"/>
      <c r="F18" s="159" t="s">
        <v>38</v>
      </c>
      <c r="G18" s="219" t="str">
        <f>HLOOKUP(Language!$C$3,Language!$E$1:$Z456,21,FALSE)</f>
        <v>19” Rack Mount / Rear Mount</v>
      </c>
      <c r="H18" s="219" t="s">
        <v>61</v>
      </c>
      <c r="I18" s="219"/>
      <c r="J18" s="219" t="s">
        <v>38</v>
      </c>
      <c r="K18" s="219" t="str">
        <f>HLOOKUP(Language!$C$3,Language!$E$1:$Z456,21,FALSE)</f>
        <v>19” Rack Mount / Rear Mount</v>
      </c>
      <c r="L18" s="219" t="s">
        <v>61</v>
      </c>
      <c r="M18" s="219"/>
      <c r="N18" s="219" t="s">
        <v>38</v>
      </c>
      <c r="O18" s="219" t="str">
        <f>HLOOKUP(Language!$C$3,Language!$E$1:$Z456,21,FALSE)</f>
        <v>19” Rack Mount / Rear Mount</v>
      </c>
      <c r="P18" s="219" t="s">
        <v>61</v>
      </c>
      <c r="Q18" s="219"/>
      <c r="R18" s="219" t="s">
        <v>38</v>
      </c>
      <c r="S18" s="219" t="str">
        <f>HLOOKUP(Language!$C$3,Language!$E$1:$Z456,21,FALSE)</f>
        <v>19” Rack Mount / Rear Mount</v>
      </c>
      <c r="T18" s="219" t="s">
        <v>61</v>
      </c>
      <c r="U18" s="219"/>
      <c r="V18" s="219" t="s">
        <v>38</v>
      </c>
      <c r="W18" s="219" t="str">
        <f>HLOOKUP(Language!$C$3,Language!$E$1:$Z456,21,FALSE)</f>
        <v>19” Rack Mount / Rear Mount</v>
      </c>
      <c r="X18" s="219" t="s">
        <v>61</v>
      </c>
      <c r="Y18" s="219"/>
      <c r="Z18" s="219" t="s">
        <v>38</v>
      </c>
      <c r="AA18" s="219" t="str">
        <f>HLOOKUP(Language!$C$3,Language!$E$1:$Z456,21,FALSE)</f>
        <v>19” Rack Mount / Rear Mount</v>
      </c>
      <c r="AB18" s="219" t="s">
        <v>61</v>
      </c>
      <c r="AC18" s="219"/>
      <c r="AD18" s="219" t="s">
        <v>38</v>
      </c>
      <c r="AE18" s="219" t="str">
        <f>HLOOKUP(Language!$C$3,Language!$E$1:$Z456,21,FALSE)</f>
        <v>19” Rack Mount / Rear Mount</v>
      </c>
      <c r="AF18" s="219" t="s">
        <v>61</v>
      </c>
      <c r="AG18" s="219"/>
      <c r="AH18" s="219" t="s">
        <v>38</v>
      </c>
    </row>
    <row r="19" spans="1:34">
      <c r="A19" s="160"/>
      <c r="B19" s="17"/>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row>
    <row r="20" spans="1:34">
      <c r="A20" s="158">
        <v>5</v>
      </c>
      <c r="B20" s="16" t="str">
        <f>HLOOKUP(Language!$C$3,Language!$E$1:$Z483,22,FALSE)</f>
        <v>Software Functionality (Licensing)</v>
      </c>
      <c r="C20" s="159" t="str">
        <f>HLOOKUP(Language!$C$3,Language!$E$1:$Z489,23,FALSE)</f>
        <v>L2 functions</v>
      </c>
      <c r="D20" s="159">
        <v>2</v>
      </c>
      <c r="E20" s="159"/>
      <c r="F20" s="159" t="s">
        <v>38</v>
      </c>
      <c r="G20" s="219" t="str">
        <f>HLOOKUP(Language!$C$3,Language!$E$1:$Z489,77,FALSE)</f>
        <v>Standard Layer 2 packet switching (MAC Based)</v>
      </c>
      <c r="H20" s="219">
        <v>2</v>
      </c>
      <c r="I20" s="219"/>
      <c r="J20" s="219" t="s">
        <v>38</v>
      </c>
      <c r="K20" s="219" t="str">
        <f>HLOOKUP(Language!$C$3,Language!$E$1:$Z489,77,FALSE)</f>
        <v>Standard Layer 2 packet switching (MAC Based)</v>
      </c>
      <c r="L20" s="219">
        <v>2</v>
      </c>
      <c r="M20" s="219"/>
      <c r="N20" s="219" t="s">
        <v>38</v>
      </c>
      <c r="O20" s="219" t="str">
        <f>HLOOKUP(Language!$C$3,Language!$E$1:$Z489,77,FALSE)</f>
        <v>Standard Layer 2 packet switching (MAC Based)</v>
      </c>
      <c r="P20" s="219">
        <v>2</v>
      </c>
      <c r="Q20" s="219"/>
      <c r="R20" s="219" t="s">
        <v>38</v>
      </c>
      <c r="S20" s="219" t="str">
        <f>HLOOKUP(Language!$C$3,Language!$E$1:$Z489,77,FALSE)</f>
        <v>Standard Layer 2 packet switching (MAC Based)</v>
      </c>
      <c r="T20" s="219">
        <v>2</v>
      </c>
      <c r="U20" s="219"/>
      <c r="V20" s="219" t="s">
        <v>38</v>
      </c>
      <c r="W20" s="219" t="str">
        <f>HLOOKUP(Language!$C$3,Language!$E$1:$Z489,77,FALSE)</f>
        <v>Standard Layer 2 packet switching (MAC Based)</v>
      </c>
      <c r="X20" s="219">
        <v>2</v>
      </c>
      <c r="Y20" s="219"/>
      <c r="Z20" s="219" t="s">
        <v>38</v>
      </c>
      <c r="AA20" s="219" t="str">
        <f>HLOOKUP(Language!$C$3,Language!$E$1:$Z489,77,FALSE)</f>
        <v>Standard Layer 2 packet switching (MAC Based)</v>
      </c>
      <c r="AB20" s="219">
        <v>2</v>
      </c>
      <c r="AC20" s="219"/>
      <c r="AD20" s="219" t="s">
        <v>38</v>
      </c>
      <c r="AE20" s="219" t="str">
        <f>HLOOKUP(Language!$C$3,Language!$E$1:$Z489,77,FALSE)</f>
        <v>Standard Layer 2 packet switching (MAC Based)</v>
      </c>
      <c r="AF20" s="219">
        <v>2</v>
      </c>
      <c r="AG20" s="219"/>
      <c r="AH20" s="219" t="s">
        <v>38</v>
      </c>
    </row>
    <row r="21" spans="1:34">
      <c r="A21" s="160"/>
      <c r="B21" s="17"/>
      <c r="C21" s="161" t="str">
        <f>HLOOKUP(Language!$C$3,Language!$E$1:$Z485,24,FALSE)</f>
        <v>L2+L3 functions</v>
      </c>
      <c r="D21" s="161">
        <v>3</v>
      </c>
      <c r="E21" s="161"/>
      <c r="F21" s="161" t="s">
        <v>38</v>
      </c>
      <c r="G21" s="220" t="str">
        <f>HLOOKUP(Language!$C$3,Language!$E$1:$Z485,78,FALSE)</f>
        <v>Advanced Layer 2 and Layer 3 packet switching (MAC Based and IP Based)</v>
      </c>
      <c r="H21" s="220">
        <v>3</v>
      </c>
      <c r="I21" s="220"/>
      <c r="J21" s="220" t="s">
        <v>38</v>
      </c>
      <c r="K21" s="220" t="str">
        <f>HLOOKUP(Language!$C$3,Language!$E$1:$Z485,78,FALSE)</f>
        <v>Advanced Layer 2 and Layer 3 packet switching (MAC Based and IP Based)</v>
      </c>
      <c r="L21" s="220">
        <v>3</v>
      </c>
      <c r="M21" s="220"/>
      <c r="N21" s="220" t="s">
        <v>38</v>
      </c>
      <c r="O21" s="220" t="str">
        <f>HLOOKUP(Language!$C$3,Language!$E$1:$Z485,78,FALSE)</f>
        <v>Advanced Layer 2 and Layer 3 packet switching (MAC Based and IP Based)</v>
      </c>
      <c r="P21" s="220">
        <v>3</v>
      </c>
      <c r="Q21" s="220"/>
      <c r="R21" s="220" t="s">
        <v>38</v>
      </c>
      <c r="S21" s="220" t="str">
        <f>HLOOKUP(Language!$C$3,Language!$E$1:$Z485,78,FALSE)</f>
        <v>Advanced Layer 2 and Layer 3 packet switching (MAC Based and IP Based)</v>
      </c>
      <c r="T21" s="220">
        <v>3</v>
      </c>
      <c r="U21" s="220"/>
      <c r="V21" s="220" t="s">
        <v>38</v>
      </c>
      <c r="W21" s="220" t="str">
        <f>HLOOKUP(Language!$C$3,Language!$E$1:$Z485,78,FALSE)</f>
        <v>Advanced Layer 2 and Layer 3 packet switching (MAC Based and IP Based)</v>
      </c>
      <c r="X21" s="220">
        <v>3</v>
      </c>
      <c r="Y21" s="220"/>
      <c r="Z21" s="220" t="s">
        <v>38</v>
      </c>
      <c r="AA21" s="220" t="str">
        <f>HLOOKUP(Language!$C$3,Language!$E$1:$Z485,78,FALSE)</f>
        <v>Advanced Layer 2 and Layer 3 packet switching (MAC Based and IP Based)</v>
      </c>
      <c r="AB21" s="220">
        <v>3</v>
      </c>
      <c r="AC21" s="220"/>
      <c r="AD21" s="220" t="s">
        <v>38</v>
      </c>
      <c r="AE21" s="220" t="str">
        <f>HLOOKUP(Language!$C$3,Language!$E$1:$Z485,78,FALSE)</f>
        <v>Advanced Layer 2 and Layer 3 packet switching (MAC Based and IP Based)</v>
      </c>
      <c r="AF21" s="220">
        <v>3</v>
      </c>
      <c r="AG21" s="220"/>
      <c r="AH21" s="220" t="s">
        <v>38</v>
      </c>
    </row>
    <row r="22" spans="1:34">
      <c r="A22" s="160"/>
      <c r="B22" s="17"/>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row>
    <row r="23" spans="1:34">
      <c r="A23" s="158">
        <v>6</v>
      </c>
      <c r="B23" s="16" t="str">
        <f>HLOOKUP(Language!$C$3,Language!$E$1:$Z486,25,FALSE)</f>
        <v>PTP Support (Licensing)</v>
      </c>
      <c r="C23" s="219" t="str">
        <f>HLOOKUP(Language!$C$3,Language!$E$1:$Z492,26,FALSE)</f>
        <v>With PTP (IEEE 1588v2) support</v>
      </c>
      <c r="D23" s="219" t="s">
        <v>61</v>
      </c>
      <c r="E23" s="219"/>
      <c r="F23" s="219" t="s">
        <v>38</v>
      </c>
      <c r="G23" s="219" t="str">
        <f>HLOOKUP(Language!$C$3,Language!$E$1:$Z492,26,FALSE)</f>
        <v>With PTP (IEEE 1588v2) support</v>
      </c>
      <c r="H23" s="219" t="s">
        <v>61</v>
      </c>
      <c r="I23" s="219"/>
      <c r="J23" s="219" t="s">
        <v>38</v>
      </c>
      <c r="K23" s="219" t="str">
        <f>HLOOKUP(Language!$C$3,Language!$E$1:$Z492,26,FALSE)</f>
        <v>With PTP (IEEE 1588v2) support</v>
      </c>
      <c r="L23" s="219" t="s">
        <v>61</v>
      </c>
      <c r="M23" s="219"/>
      <c r="N23" s="219" t="s">
        <v>38</v>
      </c>
      <c r="O23" s="219" t="str">
        <f>HLOOKUP(Language!$C$3,Language!$E$1:$Z492,26,FALSE)</f>
        <v>With PTP (IEEE 1588v2) support</v>
      </c>
      <c r="P23" s="219" t="s">
        <v>61</v>
      </c>
      <c r="Q23" s="219"/>
      <c r="R23" s="219" t="s">
        <v>38</v>
      </c>
      <c r="S23" s="219" t="str">
        <f>HLOOKUP(Language!$C$3,Language!$E$1:$Z492,26,FALSE)</f>
        <v>With PTP (IEEE 1588v2) support</v>
      </c>
      <c r="T23" s="219" t="s">
        <v>61</v>
      </c>
      <c r="U23" s="219"/>
      <c r="V23" s="219" t="s">
        <v>38</v>
      </c>
      <c r="W23" s="219" t="str">
        <f>HLOOKUP(Language!$C$3,Language!$E$1:$Z492,26,FALSE)</f>
        <v>With PTP (IEEE 1588v2) support</v>
      </c>
      <c r="X23" s="219" t="s">
        <v>61</v>
      </c>
      <c r="Y23" s="219"/>
      <c r="Z23" s="219" t="s">
        <v>38</v>
      </c>
      <c r="AA23" s="219" t="str">
        <f>HLOOKUP(Language!$C$3,Language!$E$1:$Z492,26,FALSE)</f>
        <v>With PTP (IEEE 1588v2) support</v>
      </c>
      <c r="AB23" s="219" t="s">
        <v>61</v>
      </c>
      <c r="AC23" s="219"/>
      <c r="AD23" s="219" t="s">
        <v>38</v>
      </c>
      <c r="AE23" s="219" t="str">
        <f>HLOOKUP(Language!$C$3,Language!$E$1:$Z492,26,FALSE)</f>
        <v>With PTP (IEEE 1588v2) support</v>
      </c>
      <c r="AF23" s="219" t="s">
        <v>61</v>
      </c>
      <c r="AG23" s="219"/>
      <c r="AH23" s="219" t="s">
        <v>38</v>
      </c>
    </row>
    <row r="24" spans="1:34">
      <c r="A24" s="160"/>
      <c r="B24" s="17"/>
      <c r="C24" s="220" t="str">
        <f>HLOOKUP(Language!$C$3,Language!$E$1:$Z488,27,FALSE)</f>
        <v>Without PTP (IEEE 1588v2) support</v>
      </c>
      <c r="D24" s="220" t="s">
        <v>27</v>
      </c>
      <c r="E24" s="220"/>
      <c r="F24" s="220" t="s">
        <v>38</v>
      </c>
      <c r="G24" s="220" t="str">
        <f>HLOOKUP(Language!$C$3,Language!$E$1:$Z488,27,FALSE)</f>
        <v>Without PTP (IEEE 1588v2) support</v>
      </c>
      <c r="H24" s="220" t="s">
        <v>27</v>
      </c>
      <c r="I24" s="220"/>
      <c r="J24" s="220" t="s">
        <v>38</v>
      </c>
      <c r="K24" s="220" t="str">
        <f>HLOOKUP(Language!$C$3,Language!$E$1:$Z488,27,FALSE)</f>
        <v>Without PTP (IEEE 1588v2) support</v>
      </c>
      <c r="L24" s="220" t="s">
        <v>27</v>
      </c>
      <c r="M24" s="220"/>
      <c r="N24" s="220" t="s">
        <v>38</v>
      </c>
      <c r="O24" s="220" t="str">
        <f>HLOOKUP(Language!$C$3,Language!$E$1:$Z488,27,FALSE)</f>
        <v>Without PTP (IEEE 1588v2) support</v>
      </c>
      <c r="P24" s="220" t="s">
        <v>27</v>
      </c>
      <c r="Q24" s="220"/>
      <c r="R24" s="220" t="s">
        <v>38</v>
      </c>
      <c r="S24" s="220" t="str">
        <f>HLOOKUP(Language!$C$3,Language!$E$1:$Z488,27,FALSE)</f>
        <v>Without PTP (IEEE 1588v2) support</v>
      </c>
      <c r="T24" s="220" t="s">
        <v>27</v>
      </c>
      <c r="U24" s="220"/>
      <c r="V24" s="220" t="s">
        <v>38</v>
      </c>
      <c r="W24" s="220" t="str">
        <f>HLOOKUP(Language!$C$3,Language!$E$1:$Z488,27,FALSE)</f>
        <v>Without PTP (IEEE 1588v2) support</v>
      </c>
      <c r="X24" s="220" t="s">
        <v>27</v>
      </c>
      <c r="Y24" s="220"/>
      <c r="Z24" s="220" t="s">
        <v>38</v>
      </c>
      <c r="AA24" s="220" t="str">
        <f>HLOOKUP(Language!$C$3,Language!$E$1:$Z488,27,FALSE)</f>
        <v>Without PTP (IEEE 1588v2) support</v>
      </c>
      <c r="AB24" s="220" t="s">
        <v>27</v>
      </c>
      <c r="AC24" s="220"/>
      <c r="AD24" s="220" t="s">
        <v>38</v>
      </c>
      <c r="AE24" s="220" t="str">
        <f>HLOOKUP(Language!$C$3,Language!$E$1:$Z488,27,FALSE)</f>
        <v>Without PTP (IEEE 1588v2) support</v>
      </c>
      <c r="AF24" s="220" t="s">
        <v>27</v>
      </c>
      <c r="AG24" s="220"/>
      <c r="AH24" s="220" t="s">
        <v>38</v>
      </c>
    </row>
    <row r="25" spans="1:34">
      <c r="A25" s="162"/>
      <c r="B25" s="22"/>
      <c r="C25" s="163"/>
      <c r="D25" s="163"/>
      <c r="E25" s="163"/>
      <c r="F25" s="163"/>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row>
    <row r="26" spans="1:34">
      <c r="A26" s="158">
        <v>7</v>
      </c>
      <c r="B26" s="16" t="str">
        <f>HLOOKUP(Language!$C$3,Language!$E$1:$Z476,28,FALSE)</f>
        <v>Interface Module 1</v>
      </c>
      <c r="C26" s="159" t="str">
        <f>HLOOKUP(Language!$C$3,Language!$E$1:$Z478,34,FALSE)</f>
        <v>Four 1 Gbps RJ45 copper 10/100BASE-TX/1000BASE-T Ethernet ports</v>
      </c>
      <c r="D26" s="159" t="s">
        <v>25</v>
      </c>
      <c r="E26" s="159"/>
      <c r="F26" s="159" t="s">
        <v>38</v>
      </c>
      <c r="G26" s="219" t="str">
        <f>HLOOKUP(Language!$C$3,Language!$E$1:$Z478,34,FALSE)</f>
        <v>Four 1 Gbps RJ45 copper 10/100BASE-TX/1000BASE-T Ethernet ports</v>
      </c>
      <c r="H26" s="219" t="s">
        <v>25</v>
      </c>
      <c r="I26" s="219"/>
      <c r="J26" s="219" t="s">
        <v>38</v>
      </c>
      <c r="K26" s="219" t="str">
        <f>HLOOKUP(Language!$C$3,Language!$E$1:$Z478,34,FALSE)</f>
        <v>Four 1 Gbps RJ45 copper 10/100BASE-TX/1000BASE-T Ethernet ports</v>
      </c>
      <c r="L26" s="219" t="s">
        <v>25</v>
      </c>
      <c r="M26" s="219"/>
      <c r="N26" s="219" t="s">
        <v>38</v>
      </c>
      <c r="O26" s="219" t="str">
        <f>HLOOKUP(Language!$C$3,Language!$E$1:$Z478,34,FALSE)</f>
        <v>Four 1 Gbps RJ45 copper 10/100BASE-TX/1000BASE-T Ethernet ports</v>
      </c>
      <c r="P26" s="219" t="s">
        <v>25</v>
      </c>
      <c r="Q26" s="219"/>
      <c r="R26" s="219" t="s">
        <v>38</v>
      </c>
      <c r="S26" s="219" t="str">
        <f>HLOOKUP(Language!$C$3,Language!$E$1:$Z478,34,FALSE)</f>
        <v>Four 1 Gbps RJ45 copper 10/100BASE-TX/1000BASE-T Ethernet ports</v>
      </c>
      <c r="T26" s="219" t="s">
        <v>25</v>
      </c>
      <c r="U26" s="219"/>
      <c r="V26" s="219" t="s">
        <v>38</v>
      </c>
      <c r="W26" s="219" t="str">
        <f>HLOOKUP(Language!$C$3,Language!$E$1:$Z478,34,FALSE)</f>
        <v>Four 1 Gbps RJ45 copper 10/100BASE-TX/1000BASE-T Ethernet ports</v>
      </c>
      <c r="X26" s="219" t="s">
        <v>25</v>
      </c>
      <c r="Y26" s="219"/>
      <c r="Z26" s="219" t="s">
        <v>38</v>
      </c>
      <c r="AA26" s="219" t="str">
        <f>HLOOKUP(Language!$C$3,Language!$E$1:$Z478,34,FALSE)</f>
        <v>Four 1 Gbps RJ45 copper 10/100BASE-TX/1000BASE-T Ethernet ports</v>
      </c>
      <c r="AB26" s="219" t="s">
        <v>25</v>
      </c>
      <c r="AC26" s="219"/>
      <c r="AD26" s="219" t="s">
        <v>38</v>
      </c>
      <c r="AE26" s="219" t="str">
        <f>HLOOKUP(Language!$C$3,Language!$E$1:$Z478,34,FALSE)</f>
        <v>Four 1 Gbps RJ45 copper 10/100BASE-TX/1000BASE-T Ethernet ports</v>
      </c>
      <c r="AF26" s="219" t="s">
        <v>25</v>
      </c>
      <c r="AG26" s="219"/>
      <c r="AH26" s="219" t="s">
        <v>38</v>
      </c>
    </row>
    <row r="27" spans="1:34">
      <c r="A27" s="160"/>
      <c r="B27" s="17"/>
      <c r="C27" s="161" t="str">
        <f>HLOOKUP(Language!$C$3,Language!$E$1:$Z479,35,FALSE)</f>
        <v>Four slots for SFP transceivers</v>
      </c>
      <c r="D27" s="161" t="s">
        <v>26</v>
      </c>
      <c r="E27" s="161"/>
      <c r="F27" s="161" t="s">
        <v>38</v>
      </c>
      <c r="G27" s="220" t="str">
        <f>HLOOKUP(Language!$C$3,Language!$E$1:$Z479,35,FALSE)</f>
        <v>Four slots for SFP transceivers</v>
      </c>
      <c r="H27" s="220" t="s">
        <v>26</v>
      </c>
      <c r="I27" s="220"/>
      <c r="J27" s="220" t="s">
        <v>38</v>
      </c>
      <c r="K27" s="220" t="str">
        <f>HLOOKUP(Language!$C$3,Language!$E$1:$Z479,35,FALSE)</f>
        <v>Four slots for SFP transceivers</v>
      </c>
      <c r="L27" s="220" t="s">
        <v>26</v>
      </c>
      <c r="M27" s="220"/>
      <c r="N27" s="220" t="s">
        <v>38</v>
      </c>
      <c r="O27" s="220" t="str">
        <f>HLOOKUP(Language!$C$3,Language!$E$1:$Z479,35,FALSE)</f>
        <v>Four slots for SFP transceivers</v>
      </c>
      <c r="P27" s="220" t="s">
        <v>26</v>
      </c>
      <c r="Q27" s="220"/>
      <c r="R27" s="220" t="s">
        <v>38</v>
      </c>
      <c r="S27" s="220" t="str">
        <f>HLOOKUP(Language!$C$3,Language!$E$1:$Z479,35,FALSE)</f>
        <v>Four slots for SFP transceivers</v>
      </c>
      <c r="T27" s="220" t="s">
        <v>26</v>
      </c>
      <c r="U27" s="220"/>
      <c r="V27" s="220" t="s">
        <v>38</v>
      </c>
      <c r="W27" s="220" t="str">
        <f>HLOOKUP(Language!$C$3,Language!$E$1:$Z479,35,FALSE)</f>
        <v>Four slots for SFP transceivers</v>
      </c>
      <c r="X27" s="220" t="s">
        <v>26</v>
      </c>
      <c r="Y27" s="220"/>
      <c r="Z27" s="220" t="s">
        <v>38</v>
      </c>
      <c r="AA27" s="220" t="str">
        <f>HLOOKUP(Language!$C$3,Language!$E$1:$Z479,35,FALSE)</f>
        <v>Four slots for SFP transceivers</v>
      </c>
      <c r="AB27" s="220" t="s">
        <v>26</v>
      </c>
      <c r="AC27" s="220"/>
      <c r="AD27" s="220" t="s">
        <v>38</v>
      </c>
      <c r="AE27" s="220" t="str">
        <f>HLOOKUP(Language!$C$3,Language!$E$1:$Z479,35,FALSE)</f>
        <v>Four slots for SFP transceivers</v>
      </c>
      <c r="AF27" s="220" t="s">
        <v>26</v>
      </c>
      <c r="AG27" s="220"/>
      <c r="AH27" s="220" t="s">
        <v>38</v>
      </c>
    </row>
    <row r="28" spans="1:34">
      <c r="A28" s="160"/>
      <c r="B28" s="17"/>
      <c r="C28" s="161" t="str">
        <f>HLOOKUP(Language!$C$3,Language!$E$1:$Z480,36,FALSE)</f>
        <v>Four 1 Gbps LC-type SFP transceivers multi mode fiber 1000BASE-SX Ethernet for up to 0.5 km</v>
      </c>
      <c r="D28" s="161" t="s">
        <v>28</v>
      </c>
      <c r="E28" s="161"/>
      <c r="F28" s="161" t="s">
        <v>38</v>
      </c>
      <c r="G28" s="220" t="str">
        <f>HLOOKUP(Language!$C$3,Language!$E$1:$Z480,36,FALSE)</f>
        <v>Four 1 Gbps LC-type SFP transceivers multi mode fiber 1000BASE-SX Ethernet for up to 0.5 km</v>
      </c>
      <c r="H28" s="220" t="s">
        <v>28</v>
      </c>
      <c r="I28" s="220"/>
      <c r="J28" s="220" t="s">
        <v>38</v>
      </c>
      <c r="K28" s="220" t="str">
        <f>HLOOKUP(Language!$C$3,Language!$E$1:$Z480,36,FALSE)</f>
        <v>Four 1 Gbps LC-type SFP transceivers multi mode fiber 1000BASE-SX Ethernet for up to 0.5 km</v>
      </c>
      <c r="L28" s="220" t="s">
        <v>28</v>
      </c>
      <c r="M28" s="220"/>
      <c r="N28" s="220" t="s">
        <v>38</v>
      </c>
      <c r="O28" s="220" t="str">
        <f>HLOOKUP(Language!$C$3,Language!$E$1:$Z480,36,FALSE)</f>
        <v>Four 1 Gbps LC-type SFP transceivers multi mode fiber 1000BASE-SX Ethernet for up to 0.5 km</v>
      </c>
      <c r="P28" s="220" t="s">
        <v>28</v>
      </c>
      <c r="Q28" s="220"/>
      <c r="R28" s="220" t="s">
        <v>38</v>
      </c>
      <c r="S28" s="220" t="str">
        <f>HLOOKUP(Language!$C$3,Language!$E$1:$Z480,36,FALSE)</f>
        <v>Four 1 Gbps LC-type SFP transceivers multi mode fiber 1000BASE-SX Ethernet for up to 0.5 km</v>
      </c>
      <c r="T28" s="220" t="s">
        <v>28</v>
      </c>
      <c r="U28" s="220"/>
      <c r="V28" s="220" t="s">
        <v>38</v>
      </c>
      <c r="W28" s="220" t="str">
        <f>HLOOKUP(Language!$C$3,Language!$E$1:$Z480,36,FALSE)</f>
        <v>Four 1 Gbps LC-type SFP transceivers multi mode fiber 1000BASE-SX Ethernet for up to 0.5 km</v>
      </c>
      <c r="X28" s="220" t="s">
        <v>28</v>
      </c>
      <c r="Y28" s="220"/>
      <c r="Z28" s="220" t="s">
        <v>38</v>
      </c>
      <c r="AA28" s="220" t="str">
        <f>HLOOKUP(Language!$C$3,Language!$E$1:$Z480,36,FALSE)</f>
        <v>Four 1 Gbps LC-type SFP transceivers multi mode fiber 1000BASE-SX Ethernet for up to 0.5 km</v>
      </c>
      <c r="AB28" s="220" t="s">
        <v>28</v>
      </c>
      <c r="AC28" s="220"/>
      <c r="AD28" s="220" t="s">
        <v>38</v>
      </c>
      <c r="AE28" s="220" t="str">
        <f>HLOOKUP(Language!$C$3,Language!$E$1:$Z480,36,FALSE)</f>
        <v>Four 1 Gbps LC-type SFP transceivers multi mode fiber 1000BASE-SX Ethernet for up to 0.5 km</v>
      </c>
      <c r="AF28" s="220" t="s">
        <v>28</v>
      </c>
      <c r="AG28" s="220"/>
      <c r="AH28" s="220" t="s">
        <v>38</v>
      </c>
    </row>
    <row r="29" spans="1:34">
      <c r="A29" s="160"/>
      <c r="B29" s="17"/>
      <c r="C29" s="161" t="str">
        <f>HLOOKUP(Language!$C$3,Language!$E$1:$Z481,37,FALSE)</f>
        <v>Four 1 Gbps LC-type SFP transceivers single mode fiber 1000BASE-LX Ethernet for up to 20 km</v>
      </c>
      <c r="D29" s="161" t="s">
        <v>29</v>
      </c>
      <c r="E29" s="161"/>
      <c r="F29" s="161" t="s">
        <v>38</v>
      </c>
      <c r="G29" s="220" t="str">
        <f>HLOOKUP(Language!$C$3,Language!$E$1:$Z481,37,FALSE)</f>
        <v>Four 1 Gbps LC-type SFP transceivers single mode fiber 1000BASE-LX Ethernet for up to 20 km</v>
      </c>
      <c r="H29" s="220" t="s">
        <v>29</v>
      </c>
      <c r="I29" s="220"/>
      <c r="J29" s="220" t="s">
        <v>38</v>
      </c>
      <c r="K29" s="220" t="str">
        <f>HLOOKUP(Language!$C$3,Language!$E$1:$Z481,37,FALSE)</f>
        <v>Four 1 Gbps LC-type SFP transceivers single mode fiber 1000BASE-LX Ethernet for up to 20 km</v>
      </c>
      <c r="L29" s="220" t="s">
        <v>29</v>
      </c>
      <c r="M29" s="220"/>
      <c r="N29" s="220" t="s">
        <v>38</v>
      </c>
      <c r="O29" s="220" t="str">
        <f>HLOOKUP(Language!$C$3,Language!$E$1:$Z481,37,FALSE)</f>
        <v>Four 1 Gbps LC-type SFP transceivers single mode fiber 1000BASE-LX Ethernet for up to 20 km</v>
      </c>
      <c r="P29" s="220" t="s">
        <v>29</v>
      </c>
      <c r="Q29" s="220"/>
      <c r="R29" s="220" t="s">
        <v>38</v>
      </c>
      <c r="S29" s="220" t="str">
        <f>HLOOKUP(Language!$C$3,Language!$E$1:$Z481,37,FALSE)</f>
        <v>Four 1 Gbps LC-type SFP transceivers single mode fiber 1000BASE-LX Ethernet for up to 20 km</v>
      </c>
      <c r="T29" s="220" t="s">
        <v>29</v>
      </c>
      <c r="U29" s="220"/>
      <c r="V29" s="220" t="s">
        <v>38</v>
      </c>
      <c r="W29" s="220" t="str">
        <f>HLOOKUP(Language!$C$3,Language!$E$1:$Z481,37,FALSE)</f>
        <v>Four 1 Gbps LC-type SFP transceivers single mode fiber 1000BASE-LX Ethernet for up to 20 km</v>
      </c>
      <c r="X29" s="220" t="s">
        <v>29</v>
      </c>
      <c r="Y29" s="220"/>
      <c r="Z29" s="220" t="s">
        <v>38</v>
      </c>
      <c r="AA29" s="220" t="str">
        <f>HLOOKUP(Language!$C$3,Language!$E$1:$Z481,37,FALSE)</f>
        <v>Four 1 Gbps LC-type SFP transceivers single mode fiber 1000BASE-LX Ethernet for up to 20 km</v>
      </c>
      <c r="AB29" s="220" t="s">
        <v>29</v>
      </c>
      <c r="AC29" s="220"/>
      <c r="AD29" s="220" t="s">
        <v>38</v>
      </c>
      <c r="AE29" s="220" t="str">
        <f>HLOOKUP(Language!$C$3,Language!$E$1:$Z481,37,FALSE)</f>
        <v>Four 1 Gbps LC-type SFP transceivers single mode fiber 1000BASE-LX Ethernet for up to 20 km</v>
      </c>
      <c r="AF29" s="220" t="s">
        <v>29</v>
      </c>
      <c r="AG29" s="220"/>
      <c r="AH29" s="220" t="s">
        <v>38</v>
      </c>
    </row>
    <row r="30" spans="1:34">
      <c r="A30" s="160"/>
      <c r="B30" s="17"/>
      <c r="C30" s="161" t="str">
        <f>HLOOKUP(Language!$C$3,Language!$E$1:$Z482,38,FALSE)</f>
        <v>Four 1 Gbps LC-type SFP transceivers single mode fiber 1000BASE-ZX Ethernet for up to 40 km</v>
      </c>
      <c r="D30" s="161" t="s">
        <v>39</v>
      </c>
      <c r="E30" s="161"/>
      <c r="F30" s="161" t="s">
        <v>38</v>
      </c>
      <c r="G30" s="220" t="str">
        <f>HLOOKUP(Language!$C$3,Language!$E$1:$Z482,38,FALSE)</f>
        <v>Four 1 Gbps LC-type SFP transceivers single mode fiber 1000BASE-ZX Ethernet for up to 40 km</v>
      </c>
      <c r="H30" s="220" t="s">
        <v>39</v>
      </c>
      <c r="I30" s="220"/>
      <c r="J30" s="220" t="s">
        <v>38</v>
      </c>
      <c r="K30" s="220" t="str">
        <f>HLOOKUP(Language!$C$3,Language!$E$1:$Z482,38,FALSE)</f>
        <v>Four 1 Gbps LC-type SFP transceivers single mode fiber 1000BASE-ZX Ethernet for up to 40 km</v>
      </c>
      <c r="L30" s="220" t="s">
        <v>39</v>
      </c>
      <c r="M30" s="220"/>
      <c r="N30" s="220" t="s">
        <v>38</v>
      </c>
      <c r="O30" s="220" t="str">
        <f>HLOOKUP(Language!$C$3,Language!$E$1:$Z482,38,FALSE)</f>
        <v>Four 1 Gbps LC-type SFP transceivers single mode fiber 1000BASE-ZX Ethernet for up to 40 km</v>
      </c>
      <c r="P30" s="220" t="s">
        <v>39</v>
      </c>
      <c r="Q30" s="220"/>
      <c r="R30" s="220" t="s">
        <v>38</v>
      </c>
      <c r="S30" s="220" t="str">
        <f>HLOOKUP(Language!$C$3,Language!$E$1:$Z482,38,FALSE)</f>
        <v>Four 1 Gbps LC-type SFP transceivers single mode fiber 1000BASE-ZX Ethernet for up to 40 km</v>
      </c>
      <c r="T30" s="220" t="s">
        <v>39</v>
      </c>
      <c r="U30" s="220"/>
      <c r="V30" s="220" t="s">
        <v>38</v>
      </c>
      <c r="W30" s="220" t="str">
        <f>HLOOKUP(Language!$C$3,Language!$E$1:$Z482,38,FALSE)</f>
        <v>Four 1 Gbps LC-type SFP transceivers single mode fiber 1000BASE-ZX Ethernet for up to 40 km</v>
      </c>
      <c r="X30" s="220" t="s">
        <v>39</v>
      </c>
      <c r="Y30" s="220"/>
      <c r="Z30" s="220" t="s">
        <v>38</v>
      </c>
      <c r="AA30" s="220" t="str">
        <f>HLOOKUP(Language!$C$3,Language!$E$1:$Z482,38,FALSE)</f>
        <v>Four 1 Gbps LC-type SFP transceivers single mode fiber 1000BASE-ZX Ethernet for up to 40 km</v>
      </c>
      <c r="AB30" s="220" t="s">
        <v>39</v>
      </c>
      <c r="AC30" s="220"/>
      <c r="AD30" s="220" t="s">
        <v>38</v>
      </c>
      <c r="AE30" s="220" t="str">
        <f>HLOOKUP(Language!$C$3,Language!$E$1:$Z482,38,FALSE)</f>
        <v>Four 1 Gbps LC-type SFP transceivers single mode fiber 1000BASE-ZX Ethernet for up to 40 km</v>
      </c>
      <c r="AF30" s="220" t="s">
        <v>39</v>
      </c>
      <c r="AG30" s="220"/>
      <c r="AH30" s="220" t="s">
        <v>38</v>
      </c>
    </row>
    <row r="31" spans="1:34">
      <c r="A31" s="160"/>
      <c r="B31" s="17"/>
      <c r="C31" s="161" t="str">
        <f>HLOOKUP(Language!$C$3,Language!$E$1:$Z483,39,FALSE)</f>
        <v>Four 1 Gbps LC-type SFP transceivers single mode fiber 1000BASE-ZX Ethernet for up to 80 km</v>
      </c>
      <c r="D31" s="161" t="s">
        <v>40</v>
      </c>
      <c r="E31" s="161"/>
      <c r="F31" s="161" t="s">
        <v>38</v>
      </c>
      <c r="G31" s="220" t="str">
        <f>HLOOKUP(Language!$C$3,Language!$E$1:$Z483,39,FALSE)</f>
        <v>Four 1 Gbps LC-type SFP transceivers single mode fiber 1000BASE-ZX Ethernet for up to 80 km</v>
      </c>
      <c r="H31" s="220" t="s">
        <v>40</v>
      </c>
      <c r="I31" s="220"/>
      <c r="J31" s="220" t="s">
        <v>38</v>
      </c>
      <c r="K31" s="220" t="str">
        <f>HLOOKUP(Language!$C$3,Language!$E$1:$Z483,39,FALSE)</f>
        <v>Four 1 Gbps LC-type SFP transceivers single mode fiber 1000BASE-ZX Ethernet for up to 80 km</v>
      </c>
      <c r="L31" s="220" t="s">
        <v>40</v>
      </c>
      <c r="M31" s="220"/>
      <c r="N31" s="220" t="s">
        <v>38</v>
      </c>
      <c r="O31" s="220" t="str">
        <f>HLOOKUP(Language!$C$3,Language!$E$1:$Z483,39,FALSE)</f>
        <v>Four 1 Gbps LC-type SFP transceivers single mode fiber 1000BASE-ZX Ethernet for up to 80 km</v>
      </c>
      <c r="P31" s="220" t="s">
        <v>40</v>
      </c>
      <c r="Q31" s="220"/>
      <c r="R31" s="220" t="s">
        <v>38</v>
      </c>
      <c r="S31" s="220" t="str">
        <f>HLOOKUP(Language!$C$3,Language!$E$1:$Z483,39,FALSE)</f>
        <v>Four 1 Gbps LC-type SFP transceivers single mode fiber 1000BASE-ZX Ethernet for up to 80 km</v>
      </c>
      <c r="T31" s="220" t="s">
        <v>40</v>
      </c>
      <c r="U31" s="220"/>
      <c r="V31" s="220" t="s">
        <v>38</v>
      </c>
      <c r="W31" s="220" t="str">
        <f>HLOOKUP(Language!$C$3,Language!$E$1:$Z483,39,FALSE)</f>
        <v>Four 1 Gbps LC-type SFP transceivers single mode fiber 1000BASE-ZX Ethernet for up to 80 km</v>
      </c>
      <c r="X31" s="220" t="s">
        <v>40</v>
      </c>
      <c r="Y31" s="220"/>
      <c r="Z31" s="220" t="s">
        <v>38</v>
      </c>
      <c r="AA31" s="220" t="str">
        <f>HLOOKUP(Language!$C$3,Language!$E$1:$Z483,39,FALSE)</f>
        <v>Four 1 Gbps LC-type SFP transceivers single mode fiber 1000BASE-ZX Ethernet for up to 80 km</v>
      </c>
      <c r="AB31" s="220" t="s">
        <v>40</v>
      </c>
      <c r="AC31" s="220"/>
      <c r="AD31" s="220" t="s">
        <v>38</v>
      </c>
      <c r="AE31" s="220" t="str">
        <f>HLOOKUP(Language!$C$3,Language!$E$1:$Z483,39,FALSE)</f>
        <v>Four 1 Gbps LC-type SFP transceivers single mode fiber 1000BASE-ZX Ethernet for up to 80 km</v>
      </c>
      <c r="AF31" s="220" t="s">
        <v>40</v>
      </c>
      <c r="AG31" s="220"/>
      <c r="AH31" s="220" t="s">
        <v>38</v>
      </c>
    </row>
    <row r="32" spans="1:34">
      <c r="A32" s="160"/>
      <c r="B32" s="17"/>
      <c r="C32" s="161" t="str">
        <f>HLOOKUP(Language!$C$3,Language!$E$1:$Z484,40,FALSE)</f>
        <v>Four 100 Mbps LC-type SFP transceivers multi mode fiber 100BASE-FX Ethernet for up to 2 km</v>
      </c>
      <c r="D32" s="161" t="s">
        <v>41</v>
      </c>
      <c r="E32" s="161"/>
      <c r="F32" s="161" t="s">
        <v>38</v>
      </c>
      <c r="G32" s="220" t="str">
        <f>HLOOKUP(Language!$C$3,Language!$E$1:$Z484,40,FALSE)</f>
        <v>Four 100 Mbps LC-type SFP transceivers multi mode fiber 100BASE-FX Ethernet for up to 2 km</v>
      </c>
      <c r="H32" s="220" t="s">
        <v>41</v>
      </c>
      <c r="I32" s="220"/>
      <c r="J32" s="220" t="s">
        <v>38</v>
      </c>
      <c r="K32" s="220" t="str">
        <f>HLOOKUP(Language!$C$3,Language!$E$1:$Z484,40,FALSE)</f>
        <v>Four 100 Mbps LC-type SFP transceivers multi mode fiber 100BASE-FX Ethernet for up to 2 km</v>
      </c>
      <c r="L32" s="220" t="s">
        <v>41</v>
      </c>
      <c r="M32" s="220"/>
      <c r="N32" s="220" t="s">
        <v>38</v>
      </c>
      <c r="O32" s="220" t="str">
        <f>HLOOKUP(Language!$C$3,Language!$E$1:$Z484,40,FALSE)</f>
        <v>Four 100 Mbps LC-type SFP transceivers multi mode fiber 100BASE-FX Ethernet for up to 2 km</v>
      </c>
      <c r="P32" s="220" t="s">
        <v>41</v>
      </c>
      <c r="Q32" s="220"/>
      <c r="R32" s="220" t="s">
        <v>38</v>
      </c>
      <c r="S32" s="220" t="str">
        <f>HLOOKUP(Language!$C$3,Language!$E$1:$Z484,40,FALSE)</f>
        <v>Four 100 Mbps LC-type SFP transceivers multi mode fiber 100BASE-FX Ethernet for up to 2 km</v>
      </c>
      <c r="T32" s="220" t="s">
        <v>41</v>
      </c>
      <c r="U32" s="220"/>
      <c r="V32" s="220" t="s">
        <v>38</v>
      </c>
      <c r="W32" s="220" t="str">
        <f>HLOOKUP(Language!$C$3,Language!$E$1:$Z484,40,FALSE)</f>
        <v>Four 100 Mbps LC-type SFP transceivers multi mode fiber 100BASE-FX Ethernet for up to 2 km</v>
      </c>
      <c r="X32" s="220" t="s">
        <v>41</v>
      </c>
      <c r="Y32" s="220"/>
      <c r="Z32" s="220" t="s">
        <v>38</v>
      </c>
      <c r="AA32" s="220" t="str">
        <f>HLOOKUP(Language!$C$3,Language!$E$1:$Z484,40,FALSE)</f>
        <v>Four 100 Mbps LC-type SFP transceivers multi mode fiber 100BASE-FX Ethernet for up to 2 km</v>
      </c>
      <c r="AB32" s="220" t="s">
        <v>41</v>
      </c>
      <c r="AC32" s="220"/>
      <c r="AD32" s="220" t="s">
        <v>38</v>
      </c>
      <c r="AE32" s="220" t="str">
        <f>HLOOKUP(Language!$C$3,Language!$E$1:$Z484,40,FALSE)</f>
        <v>Four 100 Mbps LC-type SFP transceivers multi mode fiber 100BASE-FX Ethernet for up to 2 km</v>
      </c>
      <c r="AF32" s="220" t="s">
        <v>41</v>
      </c>
      <c r="AG32" s="220"/>
      <c r="AH32" s="220" t="s">
        <v>38</v>
      </c>
    </row>
    <row r="33" spans="1:34">
      <c r="A33" s="160"/>
      <c r="B33" s="17"/>
      <c r="C33" s="161" t="str">
        <f>HLOOKUP(Language!$C$3,Language!$E$1:$Z485,41,FALSE)</f>
        <v>Four RJ45 copper 10/100BASE-TX</v>
      </c>
      <c r="D33" s="161" t="s">
        <v>83</v>
      </c>
      <c r="E33" s="161"/>
      <c r="F33" s="161" t="s">
        <v>38</v>
      </c>
      <c r="G33" s="220" t="str">
        <f>HLOOKUP(Language!$C$3,Language!$E$1:$Z485,41,FALSE)</f>
        <v>Four RJ45 copper 10/100BASE-TX</v>
      </c>
      <c r="H33" s="220" t="s">
        <v>83</v>
      </c>
      <c r="I33" s="220"/>
      <c r="J33" s="220" t="s">
        <v>38</v>
      </c>
      <c r="K33" s="220" t="str">
        <f>HLOOKUP(Language!$C$3,Language!$E$1:$Z485,41,FALSE)</f>
        <v>Four RJ45 copper 10/100BASE-TX</v>
      </c>
      <c r="L33" s="220" t="s">
        <v>83</v>
      </c>
      <c r="M33" s="220"/>
      <c r="N33" s="220" t="s">
        <v>38</v>
      </c>
      <c r="O33" s="220" t="str">
        <f>HLOOKUP(Language!$C$3,Language!$E$1:$Z485,41,FALSE)</f>
        <v>Four RJ45 copper 10/100BASE-TX</v>
      </c>
      <c r="P33" s="220" t="s">
        <v>83</v>
      </c>
      <c r="Q33" s="220"/>
      <c r="R33" s="220" t="s">
        <v>38</v>
      </c>
      <c r="S33" s="220" t="str">
        <f>HLOOKUP(Language!$C$3,Language!$E$1:$Z485,41,FALSE)</f>
        <v>Four RJ45 copper 10/100BASE-TX</v>
      </c>
      <c r="T33" s="220" t="s">
        <v>83</v>
      </c>
      <c r="U33" s="220"/>
      <c r="V33" s="220" t="s">
        <v>38</v>
      </c>
      <c r="W33" s="220" t="str">
        <f>HLOOKUP(Language!$C$3,Language!$E$1:$Z485,41,FALSE)</f>
        <v>Four RJ45 copper 10/100BASE-TX</v>
      </c>
      <c r="X33" s="220" t="s">
        <v>83</v>
      </c>
      <c r="Y33" s="220"/>
      <c r="Z33" s="220" t="s">
        <v>38</v>
      </c>
      <c r="AA33" s="220" t="str">
        <f>HLOOKUP(Language!$C$3,Language!$E$1:$Z485,41,FALSE)</f>
        <v>Four RJ45 copper 10/100BASE-TX</v>
      </c>
      <c r="AB33" s="220" t="s">
        <v>83</v>
      </c>
      <c r="AC33" s="220"/>
      <c r="AD33" s="220" t="s">
        <v>38</v>
      </c>
      <c r="AE33" s="220" t="str">
        <f>HLOOKUP(Language!$C$3,Language!$E$1:$Z485,41,FALSE)</f>
        <v>Four RJ45 copper 10/100BASE-TX</v>
      </c>
      <c r="AF33" s="220" t="s">
        <v>83</v>
      </c>
      <c r="AG33" s="220"/>
      <c r="AH33" s="220" t="s">
        <v>38</v>
      </c>
    </row>
    <row r="34" spans="1:34">
      <c r="A34" s="160"/>
      <c r="B34" s="17"/>
      <c r="C34" s="173" t="str">
        <f>HLOOKUP(Language!$C$3,Language!$E$1:$Z485,42,FALSE)</f>
        <v>Four 1 Gbps RJ45 SFP transceivers Ethernet 10/100BASE-TX/1000BASE-T (Not CE marked)</v>
      </c>
      <c r="D34" s="161" t="s">
        <v>79</v>
      </c>
      <c r="E34" s="161"/>
      <c r="F34" s="161" t="s">
        <v>38</v>
      </c>
      <c r="G34" s="173" t="str">
        <f>HLOOKUP(Language!$C$3,Language!$E$1:$Z485,79,FALSE)</f>
        <v>Four 1 Gbps RJ45 SFP transceivers Ethernet 10/100BASE-TX/1000BASE-T</v>
      </c>
      <c r="H34" s="220" t="s">
        <v>79</v>
      </c>
      <c r="I34" s="220"/>
      <c r="J34" s="220" t="s">
        <v>38</v>
      </c>
      <c r="K34" s="173" t="str">
        <f>HLOOKUP(Language!$C$3,Language!$E$1:$Z485,79,FALSE)</f>
        <v>Four 1 Gbps RJ45 SFP transceivers Ethernet 10/100BASE-TX/1000BASE-T</v>
      </c>
      <c r="L34" s="220" t="s">
        <v>79</v>
      </c>
      <c r="M34" s="220"/>
      <c r="N34" s="220" t="s">
        <v>38</v>
      </c>
      <c r="O34" s="173" t="str">
        <f>HLOOKUP(Language!$C$3,Language!$E$1:$Z485,79,FALSE)</f>
        <v>Four 1 Gbps RJ45 SFP transceivers Ethernet 10/100BASE-TX/1000BASE-T</v>
      </c>
      <c r="P34" s="220" t="s">
        <v>79</v>
      </c>
      <c r="Q34" s="220"/>
      <c r="R34" s="220" t="s">
        <v>38</v>
      </c>
      <c r="S34" s="173" t="str">
        <f>HLOOKUP(Language!$C$3,Language!$E$1:$Z485,79,FALSE)</f>
        <v>Four 1 Gbps RJ45 SFP transceivers Ethernet 10/100BASE-TX/1000BASE-T</v>
      </c>
      <c r="T34" s="220" t="s">
        <v>79</v>
      </c>
      <c r="U34" s="220"/>
      <c r="V34" s="220" t="s">
        <v>38</v>
      </c>
      <c r="W34" s="173" t="str">
        <f>HLOOKUP(Language!$C$3,Language!$E$1:$Z485,79,FALSE)</f>
        <v>Four 1 Gbps RJ45 SFP transceivers Ethernet 10/100BASE-TX/1000BASE-T</v>
      </c>
      <c r="X34" s="220" t="s">
        <v>79</v>
      </c>
      <c r="Y34" s="220"/>
      <c r="Z34" s="220" t="s">
        <v>38</v>
      </c>
      <c r="AA34" s="173" t="str">
        <f>HLOOKUP(Language!$C$3,Language!$E$1:$Z485,79,FALSE)</f>
        <v>Four 1 Gbps RJ45 SFP transceivers Ethernet 10/100BASE-TX/1000BASE-T</v>
      </c>
      <c r="AB34" s="220" t="s">
        <v>79</v>
      </c>
      <c r="AC34" s="220"/>
      <c r="AD34" s="220" t="s">
        <v>38</v>
      </c>
      <c r="AE34" s="173" t="str">
        <f>HLOOKUP(Language!$C$3,Language!$E$1:$Z485,79,FALSE)</f>
        <v>Four 1 Gbps RJ45 SFP transceivers Ethernet 10/100BASE-TX/1000BASE-T</v>
      </c>
      <c r="AF34" s="220" t="s">
        <v>79</v>
      </c>
      <c r="AG34" s="220"/>
      <c r="AH34" s="220" t="s">
        <v>38</v>
      </c>
    </row>
    <row r="35" spans="1:34" ht="23">
      <c r="A35" s="160"/>
      <c r="B35" s="17"/>
      <c r="C35" s="173" t="str">
        <f>HLOOKUP(Language!$C$3,Language!$E$1:$Z486,43,FALSE)</f>
        <v>Two 1 Gbps RJ45 SFP transceivers 10/100BASE-TX/1000BASE-T Ethernet ports + Two 1 Gbps LC-type SFP transceivers multi mode fiber 1000BASE-SX Ethernet for up to 0.5 km</v>
      </c>
      <c r="D35" s="161" t="s">
        <v>80</v>
      </c>
      <c r="E35" s="161"/>
      <c r="F35" s="161" t="s">
        <v>38</v>
      </c>
      <c r="G35" s="173" t="str">
        <f>HLOOKUP(Language!$C$3,Language!$E$1:$Z486,43,FALSE)</f>
        <v>Two 1 Gbps RJ45 SFP transceivers 10/100BASE-TX/1000BASE-T Ethernet ports + Two 1 Gbps LC-type SFP transceivers multi mode fiber 1000BASE-SX Ethernet for up to 0.5 km</v>
      </c>
      <c r="H35" s="220" t="s">
        <v>80</v>
      </c>
      <c r="I35" s="220"/>
      <c r="J35" s="220" t="s">
        <v>38</v>
      </c>
      <c r="K35" s="173" t="str">
        <f>HLOOKUP(Language!$C$3,Language!$E$1:$Z486,43,FALSE)</f>
        <v>Two 1 Gbps RJ45 SFP transceivers 10/100BASE-TX/1000BASE-T Ethernet ports + Two 1 Gbps LC-type SFP transceivers multi mode fiber 1000BASE-SX Ethernet for up to 0.5 km</v>
      </c>
      <c r="L35" s="220" t="s">
        <v>80</v>
      </c>
      <c r="M35" s="220"/>
      <c r="N35" s="220" t="s">
        <v>38</v>
      </c>
      <c r="O35" s="173" t="str">
        <f>HLOOKUP(Language!$C$3,Language!$E$1:$Z486,43,FALSE)</f>
        <v>Two 1 Gbps RJ45 SFP transceivers 10/100BASE-TX/1000BASE-T Ethernet ports + Two 1 Gbps LC-type SFP transceivers multi mode fiber 1000BASE-SX Ethernet for up to 0.5 km</v>
      </c>
      <c r="P35" s="220" t="s">
        <v>80</v>
      </c>
      <c r="Q35" s="220"/>
      <c r="R35" s="220" t="s">
        <v>38</v>
      </c>
      <c r="S35" s="173" t="str">
        <f>HLOOKUP(Language!$C$3,Language!$E$1:$Z486,43,FALSE)</f>
        <v>Two 1 Gbps RJ45 SFP transceivers 10/100BASE-TX/1000BASE-T Ethernet ports + Two 1 Gbps LC-type SFP transceivers multi mode fiber 1000BASE-SX Ethernet for up to 0.5 km</v>
      </c>
      <c r="T35" s="220" t="s">
        <v>80</v>
      </c>
      <c r="U35" s="220"/>
      <c r="V35" s="220" t="s">
        <v>38</v>
      </c>
      <c r="W35" s="173" t="str">
        <f>HLOOKUP(Language!$C$3,Language!$E$1:$Z486,43,FALSE)</f>
        <v>Two 1 Gbps RJ45 SFP transceivers 10/100BASE-TX/1000BASE-T Ethernet ports + Two 1 Gbps LC-type SFP transceivers multi mode fiber 1000BASE-SX Ethernet for up to 0.5 km</v>
      </c>
      <c r="X35" s="220" t="s">
        <v>80</v>
      </c>
      <c r="Y35" s="220"/>
      <c r="Z35" s="220" t="s">
        <v>38</v>
      </c>
      <c r="AA35" s="173" t="str">
        <f>HLOOKUP(Language!$C$3,Language!$E$1:$Z486,43,FALSE)</f>
        <v>Two 1 Gbps RJ45 SFP transceivers 10/100BASE-TX/1000BASE-T Ethernet ports + Two 1 Gbps LC-type SFP transceivers multi mode fiber 1000BASE-SX Ethernet for up to 0.5 km</v>
      </c>
      <c r="AB35" s="220" t="s">
        <v>80</v>
      </c>
      <c r="AC35" s="220"/>
      <c r="AD35" s="220" t="s">
        <v>38</v>
      </c>
      <c r="AE35" s="173" t="str">
        <f>HLOOKUP(Language!$C$3,Language!$E$1:$Z486,43,FALSE)</f>
        <v>Two 1 Gbps RJ45 SFP transceivers 10/100BASE-TX/1000BASE-T Ethernet ports + Two 1 Gbps LC-type SFP transceivers multi mode fiber 1000BASE-SX Ethernet for up to 0.5 km</v>
      </c>
      <c r="AF35" s="220" t="s">
        <v>80</v>
      </c>
      <c r="AG35" s="220"/>
      <c r="AH35" s="220" t="s">
        <v>38</v>
      </c>
    </row>
    <row r="36" spans="1:34" ht="23">
      <c r="A36" s="160"/>
      <c r="B36" s="17"/>
      <c r="C36" s="173" t="str">
        <f>HLOOKUP(Language!$C$3,Language!$E$1:$Z487,44,FALSE)</f>
        <v>Two 1 Gbps RJ45 SFP transceivers 10/100BASE-TX/1000BASE-T Ethernet ports + Two 100 Mbps LC-type SFP transceivers multi mode fiber 100BASE-FX Ethernet for up to 2 km</v>
      </c>
      <c r="D36" s="161" t="s">
        <v>81</v>
      </c>
      <c r="E36" s="161"/>
      <c r="F36" s="161" t="s">
        <v>38</v>
      </c>
      <c r="G36" s="173" t="str">
        <f>HLOOKUP(Language!$C$3,Language!$E$1:$Z487,44,FALSE)</f>
        <v>Two 1 Gbps RJ45 SFP transceivers 10/100BASE-TX/1000BASE-T Ethernet ports + Two 100 Mbps LC-type SFP transceivers multi mode fiber 100BASE-FX Ethernet for up to 2 km</v>
      </c>
      <c r="H36" s="220" t="s">
        <v>81</v>
      </c>
      <c r="I36" s="220"/>
      <c r="J36" s="220" t="s">
        <v>38</v>
      </c>
      <c r="K36" s="173" t="str">
        <f>HLOOKUP(Language!$C$3,Language!$E$1:$Z487,44,FALSE)</f>
        <v>Two 1 Gbps RJ45 SFP transceivers 10/100BASE-TX/1000BASE-T Ethernet ports + Two 100 Mbps LC-type SFP transceivers multi mode fiber 100BASE-FX Ethernet for up to 2 km</v>
      </c>
      <c r="L36" s="220" t="s">
        <v>81</v>
      </c>
      <c r="M36" s="220"/>
      <c r="N36" s="220" t="s">
        <v>38</v>
      </c>
      <c r="O36" s="173" t="str">
        <f>HLOOKUP(Language!$C$3,Language!$E$1:$Z487,44,FALSE)</f>
        <v>Two 1 Gbps RJ45 SFP transceivers 10/100BASE-TX/1000BASE-T Ethernet ports + Two 100 Mbps LC-type SFP transceivers multi mode fiber 100BASE-FX Ethernet for up to 2 km</v>
      </c>
      <c r="P36" s="220" t="s">
        <v>81</v>
      </c>
      <c r="Q36" s="220"/>
      <c r="R36" s="220" t="s">
        <v>38</v>
      </c>
      <c r="S36" s="173" t="str">
        <f>HLOOKUP(Language!$C$3,Language!$E$1:$Z487,44,FALSE)</f>
        <v>Two 1 Gbps RJ45 SFP transceivers 10/100BASE-TX/1000BASE-T Ethernet ports + Two 100 Mbps LC-type SFP transceivers multi mode fiber 100BASE-FX Ethernet for up to 2 km</v>
      </c>
      <c r="T36" s="220" t="s">
        <v>81</v>
      </c>
      <c r="U36" s="220"/>
      <c r="V36" s="220" t="s">
        <v>38</v>
      </c>
      <c r="W36" s="173" t="str">
        <f>HLOOKUP(Language!$C$3,Language!$E$1:$Z487,44,FALSE)</f>
        <v>Two 1 Gbps RJ45 SFP transceivers 10/100BASE-TX/1000BASE-T Ethernet ports + Two 100 Mbps LC-type SFP transceivers multi mode fiber 100BASE-FX Ethernet for up to 2 km</v>
      </c>
      <c r="X36" s="220" t="s">
        <v>81</v>
      </c>
      <c r="Y36" s="220"/>
      <c r="Z36" s="220" t="s">
        <v>38</v>
      </c>
      <c r="AA36" s="173" t="str">
        <f>HLOOKUP(Language!$C$3,Language!$E$1:$Z487,44,FALSE)</f>
        <v>Two 1 Gbps RJ45 SFP transceivers 10/100BASE-TX/1000BASE-T Ethernet ports + Two 100 Mbps LC-type SFP transceivers multi mode fiber 100BASE-FX Ethernet for up to 2 km</v>
      </c>
      <c r="AB36" s="220" t="s">
        <v>81</v>
      </c>
      <c r="AC36" s="220"/>
      <c r="AD36" s="220" t="s">
        <v>38</v>
      </c>
      <c r="AE36" s="173" t="str">
        <f>HLOOKUP(Language!$C$3,Language!$E$1:$Z487,44,FALSE)</f>
        <v>Two 1 Gbps RJ45 SFP transceivers 10/100BASE-TX/1000BASE-T Ethernet ports + Two 100 Mbps LC-type SFP transceivers multi mode fiber 100BASE-FX Ethernet for up to 2 km</v>
      </c>
      <c r="AF36" s="220" t="s">
        <v>81</v>
      </c>
      <c r="AG36" s="220"/>
      <c r="AH36" s="220" t="s">
        <v>38</v>
      </c>
    </row>
    <row r="37" spans="1:34" ht="23">
      <c r="A37" s="160"/>
      <c r="B37" s="17"/>
      <c r="C37" s="173" t="str">
        <f>HLOOKUP(Language!$C$3,Language!$E$1:$Z488,45,FALSE)</f>
        <v>Two 1 Gbps LC-type SFP transceivers multi mode fiber 1000BASE-SX Ethernet for up to 0.5 km + Two 100 Mbps LC-type SFP transceivers multi mode fiber 100BASE-FX Ethernet for up to 2 km</v>
      </c>
      <c r="D37" s="161" t="s">
        <v>82</v>
      </c>
      <c r="E37" s="161"/>
      <c r="F37" s="161" t="s">
        <v>38</v>
      </c>
      <c r="G37" s="173" t="str">
        <f>HLOOKUP(Language!$C$3,Language!$E$1:$Z488,45,FALSE)</f>
        <v>Two 1 Gbps LC-type SFP transceivers multi mode fiber 1000BASE-SX Ethernet for up to 0.5 km + Two 100 Mbps LC-type SFP transceivers multi mode fiber 100BASE-FX Ethernet for up to 2 km</v>
      </c>
      <c r="H37" s="220" t="s">
        <v>82</v>
      </c>
      <c r="I37" s="220"/>
      <c r="J37" s="220" t="s">
        <v>38</v>
      </c>
      <c r="K37" s="173" t="str">
        <f>HLOOKUP(Language!$C$3,Language!$E$1:$Z488,45,FALSE)</f>
        <v>Two 1 Gbps LC-type SFP transceivers multi mode fiber 1000BASE-SX Ethernet for up to 0.5 km + Two 100 Mbps LC-type SFP transceivers multi mode fiber 100BASE-FX Ethernet for up to 2 km</v>
      </c>
      <c r="L37" s="220" t="s">
        <v>82</v>
      </c>
      <c r="M37" s="220"/>
      <c r="N37" s="220" t="s">
        <v>38</v>
      </c>
      <c r="O37" s="173" t="str">
        <f>HLOOKUP(Language!$C$3,Language!$E$1:$Z488,45,FALSE)</f>
        <v>Two 1 Gbps LC-type SFP transceivers multi mode fiber 1000BASE-SX Ethernet for up to 0.5 km + Two 100 Mbps LC-type SFP transceivers multi mode fiber 100BASE-FX Ethernet for up to 2 km</v>
      </c>
      <c r="P37" s="220" t="s">
        <v>82</v>
      </c>
      <c r="Q37" s="220"/>
      <c r="R37" s="220" t="s">
        <v>38</v>
      </c>
      <c r="S37" s="173" t="str">
        <f>HLOOKUP(Language!$C$3,Language!$E$1:$Z488,45,FALSE)</f>
        <v>Two 1 Gbps LC-type SFP transceivers multi mode fiber 1000BASE-SX Ethernet for up to 0.5 km + Two 100 Mbps LC-type SFP transceivers multi mode fiber 100BASE-FX Ethernet for up to 2 km</v>
      </c>
      <c r="T37" s="220" t="s">
        <v>82</v>
      </c>
      <c r="U37" s="220"/>
      <c r="V37" s="220" t="s">
        <v>38</v>
      </c>
      <c r="W37" s="173" t="str">
        <f>HLOOKUP(Language!$C$3,Language!$E$1:$Z488,45,FALSE)</f>
        <v>Two 1 Gbps LC-type SFP transceivers multi mode fiber 1000BASE-SX Ethernet for up to 0.5 km + Two 100 Mbps LC-type SFP transceivers multi mode fiber 100BASE-FX Ethernet for up to 2 km</v>
      </c>
      <c r="X37" s="220" t="s">
        <v>82</v>
      </c>
      <c r="Y37" s="220"/>
      <c r="Z37" s="220" t="s">
        <v>38</v>
      </c>
      <c r="AA37" s="173" t="str">
        <f>HLOOKUP(Language!$C$3,Language!$E$1:$Z488,45,FALSE)</f>
        <v>Two 1 Gbps LC-type SFP transceivers multi mode fiber 1000BASE-SX Ethernet for up to 0.5 km + Two 100 Mbps LC-type SFP transceivers multi mode fiber 100BASE-FX Ethernet for up to 2 km</v>
      </c>
      <c r="AB37" s="220" t="s">
        <v>82</v>
      </c>
      <c r="AC37" s="220"/>
      <c r="AD37" s="220" t="s">
        <v>38</v>
      </c>
      <c r="AE37" s="173" t="str">
        <f>HLOOKUP(Language!$C$3,Language!$E$1:$Z488,45,FALSE)</f>
        <v>Two 1 Gbps LC-type SFP transceivers multi mode fiber 1000BASE-SX Ethernet for up to 0.5 km + Two 100 Mbps LC-type SFP transceivers multi mode fiber 100BASE-FX Ethernet for up to 2 km</v>
      </c>
      <c r="AF37" s="220" t="s">
        <v>82</v>
      </c>
      <c r="AG37" s="220"/>
      <c r="AH37" s="220" t="s">
        <v>38</v>
      </c>
    </row>
    <row r="38" spans="1:34">
      <c r="A38" s="160"/>
      <c r="B38" s="17"/>
      <c r="C38" s="173" t="str">
        <f>HLOOKUP(Language!$C$3,Language!$E$1:$Z467,19,FALSE)</f>
        <v>Not installed</v>
      </c>
      <c r="D38" s="161" t="s">
        <v>27</v>
      </c>
      <c r="E38" s="161"/>
      <c r="F38" s="161" t="s">
        <v>38</v>
      </c>
      <c r="G38" s="173" t="str">
        <f>HLOOKUP(Language!$C$3,Language!$E$1:$Z467,19,FALSE)</f>
        <v>Not installed</v>
      </c>
      <c r="H38" s="220" t="s">
        <v>27</v>
      </c>
      <c r="I38" s="220"/>
      <c r="J38" s="220" t="s">
        <v>38</v>
      </c>
      <c r="K38" s="173" t="str">
        <f>HLOOKUP(Language!$C$3,Language!$E$1:$Z467,19,FALSE)</f>
        <v>Not installed</v>
      </c>
      <c r="L38" s="220" t="s">
        <v>27</v>
      </c>
      <c r="M38" s="220"/>
      <c r="N38" s="220" t="s">
        <v>38</v>
      </c>
      <c r="O38" s="173" t="str">
        <f>HLOOKUP(Language!$C$3,Language!$E$1:$Z467,19,FALSE)</f>
        <v>Not installed</v>
      </c>
      <c r="P38" s="220" t="s">
        <v>27</v>
      </c>
      <c r="Q38" s="220"/>
      <c r="R38" s="220" t="s">
        <v>38</v>
      </c>
      <c r="S38" s="173" t="str">
        <f>HLOOKUP(Language!$C$3,Language!$E$1:$Z467,19,FALSE)</f>
        <v>Not installed</v>
      </c>
      <c r="T38" s="220" t="s">
        <v>27</v>
      </c>
      <c r="U38" s="220"/>
      <c r="V38" s="220" t="s">
        <v>38</v>
      </c>
      <c r="W38" s="173" t="str">
        <f>HLOOKUP(Language!$C$3,Language!$E$1:$Z467,19,FALSE)</f>
        <v>Not installed</v>
      </c>
      <c r="X38" s="220" t="s">
        <v>27</v>
      </c>
      <c r="Y38" s="220"/>
      <c r="Z38" s="220" t="s">
        <v>38</v>
      </c>
      <c r="AA38" s="173" t="str">
        <f>HLOOKUP(Language!$C$3,Language!$E$1:$Z467,19,FALSE)</f>
        <v>Not installed</v>
      </c>
      <c r="AB38" s="220" t="s">
        <v>27</v>
      </c>
      <c r="AC38" s="220"/>
      <c r="AD38" s="220" t="s">
        <v>38</v>
      </c>
      <c r="AE38" s="173" t="str">
        <f>HLOOKUP(Language!$C$3,Language!$E$1:$Z467,19,FALSE)</f>
        <v>Not installed</v>
      </c>
      <c r="AF38" s="220" t="s">
        <v>27</v>
      </c>
      <c r="AG38" s="220"/>
      <c r="AH38" s="220" t="s">
        <v>38</v>
      </c>
    </row>
    <row r="39" spans="1:34">
      <c r="A39" s="160"/>
      <c r="B39" s="17"/>
      <c r="C39" s="161"/>
      <c r="D39" s="161"/>
      <c r="E39" s="161"/>
      <c r="F39" s="161"/>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row>
    <row r="40" spans="1:34">
      <c r="A40" s="160"/>
      <c r="B40" s="17"/>
      <c r="C40" s="161"/>
      <c r="D40" s="161"/>
      <c r="E40" s="161"/>
      <c r="F40" s="161"/>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row>
    <row r="41" spans="1:34">
      <c r="A41" s="162"/>
      <c r="B41" s="22"/>
      <c r="C41" s="163"/>
      <c r="D41" s="163"/>
      <c r="E41" s="163"/>
      <c r="F41" s="163"/>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row>
    <row r="42" spans="1:34">
      <c r="A42" s="158">
        <v>8</v>
      </c>
      <c r="B42" s="16" t="str">
        <f>HLOOKUP(Language!$C$3,Language!$E$1:$Z476,29,FALSE)</f>
        <v>Interface Module 2</v>
      </c>
      <c r="C42" s="219" t="str">
        <f>HLOOKUP(Language!$C$3,Language!$E$1:$Z494,34,FALSE)</f>
        <v>Four 1 Gbps RJ45 copper 10/100BASE-TX/1000BASE-T Ethernet ports</v>
      </c>
      <c r="D42" s="159" t="s">
        <v>25</v>
      </c>
      <c r="E42" s="159"/>
      <c r="F42" s="159" t="s">
        <v>38</v>
      </c>
      <c r="G42" s="219" t="str">
        <f>HLOOKUP(Language!$C$3,Language!$E$1:$Z494,34,FALSE)</f>
        <v>Four 1 Gbps RJ45 copper 10/100BASE-TX/1000BASE-T Ethernet ports</v>
      </c>
      <c r="H42" s="219" t="s">
        <v>25</v>
      </c>
      <c r="I42" s="219"/>
      <c r="J42" s="219" t="s">
        <v>38</v>
      </c>
      <c r="K42" s="219" t="str">
        <f>HLOOKUP(Language!$C$3,Language!$E$1:$Z494,34,FALSE)</f>
        <v>Four 1 Gbps RJ45 copper 10/100BASE-TX/1000BASE-T Ethernet ports</v>
      </c>
      <c r="L42" s="219" t="s">
        <v>25</v>
      </c>
      <c r="M42" s="219"/>
      <c r="N42" s="219" t="s">
        <v>38</v>
      </c>
      <c r="O42" s="219" t="str">
        <f>HLOOKUP(Language!$C$3,Language!$E$1:$Z494,34,FALSE)</f>
        <v>Four 1 Gbps RJ45 copper 10/100BASE-TX/1000BASE-T Ethernet ports</v>
      </c>
      <c r="P42" s="219" t="s">
        <v>25</v>
      </c>
      <c r="Q42" s="219"/>
      <c r="R42" s="219" t="s">
        <v>38</v>
      </c>
      <c r="S42" s="219" t="str">
        <f>HLOOKUP(Language!$C$3,Language!$E$1:$Z494,34,FALSE)</f>
        <v>Four 1 Gbps RJ45 copper 10/100BASE-TX/1000BASE-T Ethernet ports</v>
      </c>
      <c r="T42" s="219" t="s">
        <v>25</v>
      </c>
      <c r="U42" s="219"/>
      <c r="V42" s="219" t="s">
        <v>38</v>
      </c>
      <c r="W42" s="219" t="str">
        <f>HLOOKUP(Language!$C$3,Language!$E$1:$Z494,34,FALSE)</f>
        <v>Four 1 Gbps RJ45 copper 10/100BASE-TX/1000BASE-T Ethernet ports</v>
      </c>
      <c r="X42" s="219" t="s">
        <v>25</v>
      </c>
      <c r="Y42" s="219"/>
      <c r="Z42" s="219" t="s">
        <v>38</v>
      </c>
      <c r="AA42" s="219" t="str">
        <f>HLOOKUP(Language!$C$3,Language!$E$1:$Z494,34,FALSE)</f>
        <v>Four 1 Gbps RJ45 copper 10/100BASE-TX/1000BASE-T Ethernet ports</v>
      </c>
      <c r="AB42" s="219" t="s">
        <v>25</v>
      </c>
      <c r="AC42" s="219"/>
      <c r="AD42" s="219" t="s">
        <v>38</v>
      </c>
      <c r="AE42" s="219" t="str">
        <f>HLOOKUP(Language!$C$3,Language!$E$1:$Z494,34,FALSE)</f>
        <v>Four 1 Gbps RJ45 copper 10/100BASE-TX/1000BASE-T Ethernet ports</v>
      </c>
      <c r="AF42" s="219" t="s">
        <v>25</v>
      </c>
      <c r="AG42" s="219"/>
      <c r="AH42" s="219" t="s">
        <v>38</v>
      </c>
    </row>
    <row r="43" spans="1:34">
      <c r="A43" s="160"/>
      <c r="B43" s="17"/>
      <c r="C43" s="220" t="str">
        <f>HLOOKUP(Language!$C$3,Language!$E$1:$Z495,35,FALSE)</f>
        <v>Four slots for SFP transceivers</v>
      </c>
      <c r="D43" s="161" t="s">
        <v>26</v>
      </c>
      <c r="E43" s="110"/>
      <c r="F43" s="161" t="s">
        <v>38</v>
      </c>
      <c r="G43" s="220" t="str">
        <f>HLOOKUP(Language!$C$3,Language!$E$1:$Z495,35,FALSE)</f>
        <v>Four slots for SFP transceivers</v>
      </c>
      <c r="H43" s="220" t="s">
        <v>26</v>
      </c>
      <c r="I43" s="110"/>
      <c r="J43" s="220" t="s">
        <v>38</v>
      </c>
      <c r="K43" s="220" t="str">
        <f>HLOOKUP(Language!$C$3,Language!$E$1:$Z495,35,FALSE)</f>
        <v>Four slots for SFP transceivers</v>
      </c>
      <c r="L43" s="220" t="s">
        <v>26</v>
      </c>
      <c r="M43" s="110"/>
      <c r="N43" s="220" t="s">
        <v>38</v>
      </c>
      <c r="O43" s="220" t="str">
        <f>HLOOKUP(Language!$C$3,Language!$E$1:$Z495,35,FALSE)</f>
        <v>Four slots for SFP transceivers</v>
      </c>
      <c r="P43" s="220" t="s">
        <v>26</v>
      </c>
      <c r="Q43" s="110"/>
      <c r="R43" s="220" t="s">
        <v>38</v>
      </c>
      <c r="S43" s="220" t="str">
        <f>HLOOKUP(Language!$C$3,Language!$E$1:$Z495,35,FALSE)</f>
        <v>Four slots for SFP transceivers</v>
      </c>
      <c r="T43" s="220" t="s">
        <v>26</v>
      </c>
      <c r="U43" s="110"/>
      <c r="V43" s="220" t="s">
        <v>38</v>
      </c>
      <c r="W43" s="220" t="str">
        <f>HLOOKUP(Language!$C$3,Language!$E$1:$Z495,35,FALSE)</f>
        <v>Four slots for SFP transceivers</v>
      </c>
      <c r="X43" s="220" t="s">
        <v>26</v>
      </c>
      <c r="Y43" s="110"/>
      <c r="Z43" s="220" t="s">
        <v>38</v>
      </c>
      <c r="AA43" s="220" t="str">
        <f>HLOOKUP(Language!$C$3,Language!$E$1:$Z495,35,FALSE)</f>
        <v>Four slots for SFP transceivers</v>
      </c>
      <c r="AB43" s="220" t="s">
        <v>26</v>
      </c>
      <c r="AC43" s="110"/>
      <c r="AD43" s="220" t="s">
        <v>38</v>
      </c>
      <c r="AE43" s="220" t="str">
        <f>HLOOKUP(Language!$C$3,Language!$E$1:$Z495,35,FALSE)</f>
        <v>Four slots for SFP transceivers</v>
      </c>
      <c r="AF43" s="220" t="s">
        <v>26</v>
      </c>
      <c r="AG43" s="110"/>
      <c r="AH43" s="220" t="s">
        <v>38</v>
      </c>
    </row>
    <row r="44" spans="1:34">
      <c r="A44" s="160"/>
      <c r="B44" s="17"/>
      <c r="C44" s="220" t="str">
        <f>HLOOKUP(Language!$C$3,Language!$E$1:$Z496,36,FALSE)</f>
        <v>Four 1 Gbps LC-type SFP transceivers multi mode fiber 1000BASE-SX Ethernet for up to 0.5 km</v>
      </c>
      <c r="D44" s="161" t="s">
        <v>28</v>
      </c>
      <c r="E44" s="161"/>
      <c r="F44" s="161" t="s">
        <v>38</v>
      </c>
      <c r="G44" s="220" t="str">
        <f>HLOOKUP(Language!$C$3,Language!$E$1:$Z496,36,FALSE)</f>
        <v>Four 1 Gbps LC-type SFP transceivers multi mode fiber 1000BASE-SX Ethernet for up to 0.5 km</v>
      </c>
      <c r="H44" s="220" t="s">
        <v>28</v>
      </c>
      <c r="I44" s="220"/>
      <c r="J44" s="220" t="s">
        <v>38</v>
      </c>
      <c r="K44" s="220" t="str">
        <f>HLOOKUP(Language!$C$3,Language!$E$1:$Z496,36,FALSE)</f>
        <v>Four 1 Gbps LC-type SFP transceivers multi mode fiber 1000BASE-SX Ethernet for up to 0.5 km</v>
      </c>
      <c r="L44" s="220" t="s">
        <v>28</v>
      </c>
      <c r="M44" s="220"/>
      <c r="N44" s="220" t="s">
        <v>38</v>
      </c>
      <c r="O44" s="220" t="str">
        <f>HLOOKUP(Language!$C$3,Language!$E$1:$Z496,36,FALSE)</f>
        <v>Four 1 Gbps LC-type SFP transceivers multi mode fiber 1000BASE-SX Ethernet for up to 0.5 km</v>
      </c>
      <c r="P44" s="220" t="s">
        <v>28</v>
      </c>
      <c r="Q44" s="220"/>
      <c r="R44" s="220" t="s">
        <v>38</v>
      </c>
      <c r="S44" s="220" t="str">
        <f>HLOOKUP(Language!$C$3,Language!$E$1:$Z496,36,FALSE)</f>
        <v>Four 1 Gbps LC-type SFP transceivers multi mode fiber 1000BASE-SX Ethernet for up to 0.5 km</v>
      </c>
      <c r="T44" s="220" t="s">
        <v>28</v>
      </c>
      <c r="U44" s="220"/>
      <c r="V44" s="220" t="s">
        <v>38</v>
      </c>
      <c r="W44" s="220" t="str">
        <f>HLOOKUP(Language!$C$3,Language!$E$1:$Z496,36,FALSE)</f>
        <v>Four 1 Gbps LC-type SFP transceivers multi mode fiber 1000BASE-SX Ethernet for up to 0.5 km</v>
      </c>
      <c r="X44" s="220" t="s">
        <v>28</v>
      </c>
      <c r="Y44" s="220"/>
      <c r="Z44" s="220" t="s">
        <v>38</v>
      </c>
      <c r="AA44" s="220" t="str">
        <f>HLOOKUP(Language!$C$3,Language!$E$1:$Z496,36,FALSE)</f>
        <v>Four 1 Gbps LC-type SFP transceivers multi mode fiber 1000BASE-SX Ethernet for up to 0.5 km</v>
      </c>
      <c r="AB44" s="220" t="s">
        <v>28</v>
      </c>
      <c r="AC44" s="220"/>
      <c r="AD44" s="220" t="s">
        <v>38</v>
      </c>
      <c r="AE44" s="220" t="str">
        <f>HLOOKUP(Language!$C$3,Language!$E$1:$Z496,36,FALSE)</f>
        <v>Four 1 Gbps LC-type SFP transceivers multi mode fiber 1000BASE-SX Ethernet for up to 0.5 km</v>
      </c>
      <c r="AF44" s="220" t="s">
        <v>28</v>
      </c>
      <c r="AG44" s="220"/>
      <c r="AH44" s="220" t="s">
        <v>38</v>
      </c>
    </row>
    <row r="45" spans="1:34">
      <c r="A45" s="160"/>
      <c r="B45" s="17"/>
      <c r="C45" s="220" t="str">
        <f>HLOOKUP(Language!$C$3,Language!$E$1:$Z497,37,FALSE)</f>
        <v>Four 1 Gbps LC-type SFP transceivers single mode fiber 1000BASE-LX Ethernet for up to 20 km</v>
      </c>
      <c r="D45" s="161" t="s">
        <v>29</v>
      </c>
      <c r="E45" s="161"/>
      <c r="F45" s="161" t="s">
        <v>38</v>
      </c>
      <c r="G45" s="220" t="str">
        <f>HLOOKUP(Language!$C$3,Language!$E$1:$Z497,37,FALSE)</f>
        <v>Four 1 Gbps LC-type SFP transceivers single mode fiber 1000BASE-LX Ethernet for up to 20 km</v>
      </c>
      <c r="H45" s="220" t="s">
        <v>29</v>
      </c>
      <c r="I45" s="220"/>
      <c r="J45" s="220" t="s">
        <v>38</v>
      </c>
      <c r="K45" s="220" t="str">
        <f>HLOOKUP(Language!$C$3,Language!$E$1:$Z497,37,FALSE)</f>
        <v>Four 1 Gbps LC-type SFP transceivers single mode fiber 1000BASE-LX Ethernet for up to 20 km</v>
      </c>
      <c r="L45" s="220" t="s">
        <v>29</v>
      </c>
      <c r="M45" s="220"/>
      <c r="N45" s="220" t="s">
        <v>38</v>
      </c>
      <c r="O45" s="220" t="str">
        <f>HLOOKUP(Language!$C$3,Language!$E$1:$Z497,37,FALSE)</f>
        <v>Four 1 Gbps LC-type SFP transceivers single mode fiber 1000BASE-LX Ethernet for up to 20 km</v>
      </c>
      <c r="P45" s="220" t="s">
        <v>29</v>
      </c>
      <c r="Q45" s="220"/>
      <c r="R45" s="220" t="s">
        <v>38</v>
      </c>
      <c r="S45" s="220" t="str">
        <f>HLOOKUP(Language!$C$3,Language!$E$1:$Z497,37,FALSE)</f>
        <v>Four 1 Gbps LC-type SFP transceivers single mode fiber 1000BASE-LX Ethernet for up to 20 km</v>
      </c>
      <c r="T45" s="220" t="s">
        <v>29</v>
      </c>
      <c r="U45" s="220"/>
      <c r="V45" s="220" t="s">
        <v>38</v>
      </c>
      <c r="W45" s="220" t="str">
        <f>HLOOKUP(Language!$C$3,Language!$E$1:$Z497,37,FALSE)</f>
        <v>Four 1 Gbps LC-type SFP transceivers single mode fiber 1000BASE-LX Ethernet for up to 20 km</v>
      </c>
      <c r="X45" s="220" t="s">
        <v>29</v>
      </c>
      <c r="Y45" s="220"/>
      <c r="Z45" s="220" t="s">
        <v>38</v>
      </c>
      <c r="AA45" s="220" t="str">
        <f>HLOOKUP(Language!$C$3,Language!$E$1:$Z497,37,FALSE)</f>
        <v>Four 1 Gbps LC-type SFP transceivers single mode fiber 1000BASE-LX Ethernet for up to 20 km</v>
      </c>
      <c r="AB45" s="220" t="s">
        <v>29</v>
      </c>
      <c r="AC45" s="220"/>
      <c r="AD45" s="220" t="s">
        <v>38</v>
      </c>
      <c r="AE45" s="220" t="str">
        <f>HLOOKUP(Language!$C$3,Language!$E$1:$Z497,37,FALSE)</f>
        <v>Four 1 Gbps LC-type SFP transceivers single mode fiber 1000BASE-LX Ethernet for up to 20 km</v>
      </c>
      <c r="AF45" s="220" t="s">
        <v>29</v>
      </c>
      <c r="AG45" s="220"/>
      <c r="AH45" s="220" t="s">
        <v>38</v>
      </c>
    </row>
    <row r="46" spans="1:34">
      <c r="A46" s="160"/>
      <c r="B46" s="17"/>
      <c r="C46" s="220" t="str">
        <f>HLOOKUP(Language!$C$3,Language!$E$1:$Z498,38,FALSE)</f>
        <v>Four 1 Gbps LC-type SFP transceivers single mode fiber 1000BASE-ZX Ethernet for up to 40 km</v>
      </c>
      <c r="D46" s="161" t="s">
        <v>39</v>
      </c>
      <c r="E46" s="161"/>
      <c r="F46" s="161" t="s">
        <v>38</v>
      </c>
      <c r="G46" s="220" t="str">
        <f>HLOOKUP(Language!$C$3,Language!$E$1:$Z498,38,FALSE)</f>
        <v>Four 1 Gbps LC-type SFP transceivers single mode fiber 1000BASE-ZX Ethernet for up to 40 km</v>
      </c>
      <c r="H46" s="220" t="s">
        <v>39</v>
      </c>
      <c r="I46" s="220"/>
      <c r="J46" s="220" t="s">
        <v>38</v>
      </c>
      <c r="K46" s="220" t="str">
        <f>HLOOKUP(Language!$C$3,Language!$E$1:$Z498,38,FALSE)</f>
        <v>Four 1 Gbps LC-type SFP transceivers single mode fiber 1000BASE-ZX Ethernet for up to 40 km</v>
      </c>
      <c r="L46" s="220" t="s">
        <v>39</v>
      </c>
      <c r="M46" s="220"/>
      <c r="N46" s="220" t="s">
        <v>38</v>
      </c>
      <c r="O46" s="220" t="str">
        <f>HLOOKUP(Language!$C$3,Language!$E$1:$Z498,38,FALSE)</f>
        <v>Four 1 Gbps LC-type SFP transceivers single mode fiber 1000BASE-ZX Ethernet for up to 40 km</v>
      </c>
      <c r="P46" s="220" t="s">
        <v>39</v>
      </c>
      <c r="Q46" s="220"/>
      <c r="R46" s="220" t="s">
        <v>38</v>
      </c>
      <c r="S46" s="220" t="str">
        <f>HLOOKUP(Language!$C$3,Language!$E$1:$Z498,38,FALSE)</f>
        <v>Four 1 Gbps LC-type SFP transceivers single mode fiber 1000BASE-ZX Ethernet for up to 40 km</v>
      </c>
      <c r="T46" s="220" t="s">
        <v>39</v>
      </c>
      <c r="U46" s="220"/>
      <c r="V46" s="220" t="s">
        <v>38</v>
      </c>
      <c r="W46" s="220" t="str">
        <f>HLOOKUP(Language!$C$3,Language!$E$1:$Z498,38,FALSE)</f>
        <v>Four 1 Gbps LC-type SFP transceivers single mode fiber 1000BASE-ZX Ethernet for up to 40 km</v>
      </c>
      <c r="X46" s="220" t="s">
        <v>39</v>
      </c>
      <c r="Y46" s="220"/>
      <c r="Z46" s="220" t="s">
        <v>38</v>
      </c>
      <c r="AA46" s="220" t="str">
        <f>HLOOKUP(Language!$C$3,Language!$E$1:$Z498,38,FALSE)</f>
        <v>Four 1 Gbps LC-type SFP transceivers single mode fiber 1000BASE-ZX Ethernet for up to 40 km</v>
      </c>
      <c r="AB46" s="220" t="s">
        <v>39</v>
      </c>
      <c r="AC46" s="220"/>
      <c r="AD46" s="220" t="s">
        <v>38</v>
      </c>
      <c r="AE46" s="220" t="str">
        <f>HLOOKUP(Language!$C$3,Language!$E$1:$Z498,38,FALSE)</f>
        <v>Four 1 Gbps LC-type SFP transceivers single mode fiber 1000BASE-ZX Ethernet for up to 40 km</v>
      </c>
      <c r="AF46" s="220" t="s">
        <v>39</v>
      </c>
      <c r="AG46" s="220"/>
      <c r="AH46" s="220" t="s">
        <v>38</v>
      </c>
    </row>
    <row r="47" spans="1:34">
      <c r="A47" s="160"/>
      <c r="B47" s="17"/>
      <c r="C47" s="220" t="str">
        <f>HLOOKUP(Language!$C$3,Language!$E$1:$Z499,39,FALSE)</f>
        <v>Four 1 Gbps LC-type SFP transceivers single mode fiber 1000BASE-ZX Ethernet for up to 80 km</v>
      </c>
      <c r="D47" s="161" t="s">
        <v>40</v>
      </c>
      <c r="E47" s="161"/>
      <c r="F47" s="161" t="s">
        <v>38</v>
      </c>
      <c r="G47" s="220" t="str">
        <f>HLOOKUP(Language!$C$3,Language!$E$1:$Z499,39,FALSE)</f>
        <v>Four 1 Gbps LC-type SFP transceivers single mode fiber 1000BASE-ZX Ethernet for up to 80 km</v>
      </c>
      <c r="H47" s="220" t="s">
        <v>40</v>
      </c>
      <c r="I47" s="220"/>
      <c r="J47" s="220" t="s">
        <v>38</v>
      </c>
      <c r="K47" s="220" t="str">
        <f>HLOOKUP(Language!$C$3,Language!$E$1:$Z499,39,FALSE)</f>
        <v>Four 1 Gbps LC-type SFP transceivers single mode fiber 1000BASE-ZX Ethernet for up to 80 km</v>
      </c>
      <c r="L47" s="220" t="s">
        <v>40</v>
      </c>
      <c r="M47" s="220"/>
      <c r="N47" s="220" t="s">
        <v>38</v>
      </c>
      <c r="O47" s="220" t="str">
        <f>HLOOKUP(Language!$C$3,Language!$E$1:$Z499,39,FALSE)</f>
        <v>Four 1 Gbps LC-type SFP transceivers single mode fiber 1000BASE-ZX Ethernet for up to 80 km</v>
      </c>
      <c r="P47" s="220" t="s">
        <v>40</v>
      </c>
      <c r="Q47" s="220"/>
      <c r="R47" s="220" t="s">
        <v>38</v>
      </c>
      <c r="S47" s="220" t="str">
        <f>HLOOKUP(Language!$C$3,Language!$E$1:$Z499,39,FALSE)</f>
        <v>Four 1 Gbps LC-type SFP transceivers single mode fiber 1000BASE-ZX Ethernet for up to 80 km</v>
      </c>
      <c r="T47" s="220" t="s">
        <v>40</v>
      </c>
      <c r="U47" s="220"/>
      <c r="V47" s="220" t="s">
        <v>38</v>
      </c>
      <c r="W47" s="220" t="str">
        <f>HLOOKUP(Language!$C$3,Language!$E$1:$Z499,39,FALSE)</f>
        <v>Four 1 Gbps LC-type SFP transceivers single mode fiber 1000BASE-ZX Ethernet for up to 80 km</v>
      </c>
      <c r="X47" s="220" t="s">
        <v>40</v>
      </c>
      <c r="Y47" s="220"/>
      <c r="Z47" s="220" t="s">
        <v>38</v>
      </c>
      <c r="AA47" s="220" t="str">
        <f>HLOOKUP(Language!$C$3,Language!$E$1:$Z499,39,FALSE)</f>
        <v>Four 1 Gbps LC-type SFP transceivers single mode fiber 1000BASE-ZX Ethernet for up to 80 km</v>
      </c>
      <c r="AB47" s="220" t="s">
        <v>40</v>
      </c>
      <c r="AC47" s="220"/>
      <c r="AD47" s="220" t="s">
        <v>38</v>
      </c>
      <c r="AE47" s="220" t="str">
        <f>HLOOKUP(Language!$C$3,Language!$E$1:$Z499,39,FALSE)</f>
        <v>Four 1 Gbps LC-type SFP transceivers single mode fiber 1000BASE-ZX Ethernet for up to 80 km</v>
      </c>
      <c r="AF47" s="220" t="s">
        <v>40</v>
      </c>
      <c r="AG47" s="220"/>
      <c r="AH47" s="220" t="s">
        <v>38</v>
      </c>
    </row>
    <row r="48" spans="1:34">
      <c r="A48" s="160"/>
      <c r="B48" s="17"/>
      <c r="C48" s="220" t="str">
        <f>HLOOKUP(Language!$C$3,Language!$E$1:$Z500,40,FALSE)</f>
        <v>Four 100 Mbps LC-type SFP transceivers multi mode fiber 100BASE-FX Ethernet for up to 2 km</v>
      </c>
      <c r="D48" s="161" t="s">
        <v>41</v>
      </c>
      <c r="E48" s="161"/>
      <c r="F48" s="161" t="s">
        <v>38</v>
      </c>
      <c r="G48" s="220" t="str">
        <f>HLOOKUP(Language!$C$3,Language!$E$1:$Z500,40,FALSE)</f>
        <v>Four 100 Mbps LC-type SFP transceivers multi mode fiber 100BASE-FX Ethernet for up to 2 km</v>
      </c>
      <c r="H48" s="220" t="s">
        <v>41</v>
      </c>
      <c r="I48" s="220"/>
      <c r="J48" s="220" t="s">
        <v>38</v>
      </c>
      <c r="K48" s="220" t="str">
        <f>HLOOKUP(Language!$C$3,Language!$E$1:$Z500,40,FALSE)</f>
        <v>Four 100 Mbps LC-type SFP transceivers multi mode fiber 100BASE-FX Ethernet for up to 2 km</v>
      </c>
      <c r="L48" s="220" t="s">
        <v>41</v>
      </c>
      <c r="M48" s="220"/>
      <c r="N48" s="220" t="s">
        <v>38</v>
      </c>
      <c r="O48" s="220" t="str">
        <f>HLOOKUP(Language!$C$3,Language!$E$1:$Z500,40,FALSE)</f>
        <v>Four 100 Mbps LC-type SFP transceivers multi mode fiber 100BASE-FX Ethernet for up to 2 km</v>
      </c>
      <c r="P48" s="220" t="s">
        <v>41</v>
      </c>
      <c r="Q48" s="220"/>
      <c r="R48" s="220" t="s">
        <v>38</v>
      </c>
      <c r="S48" s="220" t="str">
        <f>HLOOKUP(Language!$C$3,Language!$E$1:$Z500,40,FALSE)</f>
        <v>Four 100 Mbps LC-type SFP transceivers multi mode fiber 100BASE-FX Ethernet for up to 2 km</v>
      </c>
      <c r="T48" s="220" t="s">
        <v>41</v>
      </c>
      <c r="U48" s="220"/>
      <c r="V48" s="220" t="s">
        <v>38</v>
      </c>
      <c r="W48" s="220" t="str">
        <f>HLOOKUP(Language!$C$3,Language!$E$1:$Z500,40,FALSE)</f>
        <v>Four 100 Mbps LC-type SFP transceivers multi mode fiber 100BASE-FX Ethernet for up to 2 km</v>
      </c>
      <c r="X48" s="220" t="s">
        <v>41</v>
      </c>
      <c r="Y48" s="220"/>
      <c r="Z48" s="220" t="s">
        <v>38</v>
      </c>
      <c r="AA48" s="220" t="str">
        <f>HLOOKUP(Language!$C$3,Language!$E$1:$Z500,40,FALSE)</f>
        <v>Four 100 Mbps LC-type SFP transceivers multi mode fiber 100BASE-FX Ethernet for up to 2 km</v>
      </c>
      <c r="AB48" s="220" t="s">
        <v>41</v>
      </c>
      <c r="AC48" s="220"/>
      <c r="AD48" s="220" t="s">
        <v>38</v>
      </c>
      <c r="AE48" s="220" t="str">
        <f>HLOOKUP(Language!$C$3,Language!$E$1:$Z500,40,FALSE)</f>
        <v>Four 100 Mbps LC-type SFP transceivers multi mode fiber 100BASE-FX Ethernet for up to 2 km</v>
      </c>
      <c r="AF48" s="220" t="s">
        <v>41</v>
      </c>
      <c r="AG48" s="220"/>
      <c r="AH48" s="220" t="s">
        <v>38</v>
      </c>
    </row>
    <row r="49" spans="1:34">
      <c r="A49" s="160"/>
      <c r="B49" s="17"/>
      <c r="C49" s="220" t="str">
        <f>HLOOKUP(Language!$C$3,Language!$E$1:$Z501,41,FALSE)</f>
        <v>Four RJ45 copper 10/100BASE-TX</v>
      </c>
      <c r="D49" s="161" t="s">
        <v>83</v>
      </c>
      <c r="E49" s="161"/>
      <c r="F49" s="161" t="s">
        <v>38</v>
      </c>
      <c r="G49" s="220" t="str">
        <f>HLOOKUP(Language!$C$3,Language!$E$1:$Z501,41,FALSE)</f>
        <v>Four RJ45 copper 10/100BASE-TX</v>
      </c>
      <c r="H49" s="220" t="s">
        <v>83</v>
      </c>
      <c r="I49" s="220"/>
      <c r="J49" s="220" t="s">
        <v>38</v>
      </c>
      <c r="K49" s="220" t="str">
        <f>HLOOKUP(Language!$C$3,Language!$E$1:$Z501,41,FALSE)</f>
        <v>Four RJ45 copper 10/100BASE-TX</v>
      </c>
      <c r="L49" s="220" t="s">
        <v>83</v>
      </c>
      <c r="M49" s="220"/>
      <c r="N49" s="220" t="s">
        <v>38</v>
      </c>
      <c r="O49" s="220" t="str">
        <f>HLOOKUP(Language!$C$3,Language!$E$1:$Z501,41,FALSE)</f>
        <v>Four RJ45 copper 10/100BASE-TX</v>
      </c>
      <c r="P49" s="220" t="s">
        <v>83</v>
      </c>
      <c r="Q49" s="220"/>
      <c r="R49" s="220" t="s">
        <v>38</v>
      </c>
      <c r="S49" s="220" t="str">
        <f>HLOOKUP(Language!$C$3,Language!$E$1:$Z501,41,FALSE)</f>
        <v>Four RJ45 copper 10/100BASE-TX</v>
      </c>
      <c r="T49" s="220" t="s">
        <v>83</v>
      </c>
      <c r="U49" s="220"/>
      <c r="V49" s="220" t="s">
        <v>38</v>
      </c>
      <c r="W49" s="220" t="str">
        <f>HLOOKUP(Language!$C$3,Language!$E$1:$Z501,41,FALSE)</f>
        <v>Four RJ45 copper 10/100BASE-TX</v>
      </c>
      <c r="X49" s="220" t="s">
        <v>83</v>
      </c>
      <c r="Y49" s="220"/>
      <c r="Z49" s="220" t="s">
        <v>38</v>
      </c>
      <c r="AA49" s="220" t="str">
        <f>HLOOKUP(Language!$C$3,Language!$E$1:$Z501,41,FALSE)</f>
        <v>Four RJ45 copper 10/100BASE-TX</v>
      </c>
      <c r="AB49" s="220" t="s">
        <v>83</v>
      </c>
      <c r="AC49" s="220"/>
      <c r="AD49" s="220" t="s">
        <v>38</v>
      </c>
      <c r="AE49" s="220" t="str">
        <f>HLOOKUP(Language!$C$3,Language!$E$1:$Z501,41,FALSE)</f>
        <v>Four RJ45 copper 10/100BASE-TX</v>
      </c>
      <c r="AF49" s="220" t="s">
        <v>83</v>
      </c>
      <c r="AG49" s="220"/>
      <c r="AH49" s="220" t="s">
        <v>38</v>
      </c>
    </row>
    <row r="50" spans="1:34">
      <c r="A50" s="160"/>
      <c r="B50" s="17"/>
      <c r="C50" s="173" t="str">
        <f>HLOOKUP(Language!$C$3,Language!$E$1:$Z501,42,FALSE)</f>
        <v>Four 1 Gbps RJ45 SFP transceivers Ethernet 10/100BASE-TX/1000BASE-T (Not CE marked)</v>
      </c>
      <c r="D50" s="161" t="s">
        <v>79</v>
      </c>
      <c r="E50" s="161"/>
      <c r="F50" s="161" t="s">
        <v>38</v>
      </c>
      <c r="G50" s="173" t="str">
        <f>HLOOKUP(Language!$C$3,Language!$E$1:$Z501,79,FALSE)</f>
        <v>Four 1 Gbps RJ45 SFP transceivers Ethernet 10/100BASE-TX/1000BASE-T</v>
      </c>
      <c r="H50" s="220" t="s">
        <v>79</v>
      </c>
      <c r="I50" s="220"/>
      <c r="J50" s="220" t="s">
        <v>38</v>
      </c>
      <c r="K50" s="173" t="str">
        <f>HLOOKUP(Language!$C$3,Language!$E$1:$Z501,79,FALSE)</f>
        <v>Four 1 Gbps RJ45 SFP transceivers Ethernet 10/100BASE-TX/1000BASE-T</v>
      </c>
      <c r="L50" s="220" t="s">
        <v>79</v>
      </c>
      <c r="M50" s="220"/>
      <c r="N50" s="220" t="s">
        <v>38</v>
      </c>
      <c r="O50" s="173" t="str">
        <f>HLOOKUP(Language!$C$3,Language!$E$1:$Z501,79,FALSE)</f>
        <v>Four 1 Gbps RJ45 SFP transceivers Ethernet 10/100BASE-TX/1000BASE-T</v>
      </c>
      <c r="P50" s="220" t="s">
        <v>79</v>
      </c>
      <c r="Q50" s="220"/>
      <c r="R50" s="220" t="s">
        <v>38</v>
      </c>
      <c r="S50" s="173" t="str">
        <f>HLOOKUP(Language!$C$3,Language!$E$1:$Z501,79,FALSE)</f>
        <v>Four 1 Gbps RJ45 SFP transceivers Ethernet 10/100BASE-TX/1000BASE-T</v>
      </c>
      <c r="T50" s="220" t="s">
        <v>79</v>
      </c>
      <c r="U50" s="220"/>
      <c r="V50" s="220" t="s">
        <v>38</v>
      </c>
      <c r="W50" s="173" t="str">
        <f>HLOOKUP(Language!$C$3,Language!$E$1:$Z501,79,FALSE)</f>
        <v>Four 1 Gbps RJ45 SFP transceivers Ethernet 10/100BASE-TX/1000BASE-T</v>
      </c>
      <c r="X50" s="220" t="s">
        <v>79</v>
      </c>
      <c r="Y50" s="220"/>
      <c r="Z50" s="220" t="s">
        <v>38</v>
      </c>
      <c r="AA50" s="173" t="str">
        <f>HLOOKUP(Language!$C$3,Language!$E$1:$Z501,79,FALSE)</f>
        <v>Four 1 Gbps RJ45 SFP transceivers Ethernet 10/100BASE-TX/1000BASE-T</v>
      </c>
      <c r="AB50" s="220" t="s">
        <v>79</v>
      </c>
      <c r="AC50" s="220"/>
      <c r="AD50" s="220" t="s">
        <v>38</v>
      </c>
      <c r="AE50" s="173" t="str">
        <f>HLOOKUP(Language!$C$3,Language!$E$1:$Z501,79,FALSE)</f>
        <v>Four 1 Gbps RJ45 SFP transceivers Ethernet 10/100BASE-TX/1000BASE-T</v>
      </c>
      <c r="AF50" s="220" t="s">
        <v>79</v>
      </c>
      <c r="AG50" s="220"/>
      <c r="AH50" s="220" t="s">
        <v>38</v>
      </c>
    </row>
    <row r="51" spans="1:34">
      <c r="A51" s="160"/>
      <c r="B51" s="17"/>
      <c r="C51" s="173" t="str">
        <f>HLOOKUP(Language!$C$3,Language!$E$1:$Z480,19,FALSE)</f>
        <v>Not installed</v>
      </c>
      <c r="D51" s="161" t="s">
        <v>27</v>
      </c>
      <c r="E51" s="161"/>
      <c r="F51" s="161" t="s">
        <v>38</v>
      </c>
      <c r="G51" s="173" t="str">
        <f>HLOOKUP(Language!$C$3,Language!$E$1:$Z480,19,FALSE)</f>
        <v>Not installed</v>
      </c>
      <c r="H51" s="220" t="s">
        <v>27</v>
      </c>
      <c r="I51" s="220"/>
      <c r="J51" s="220" t="s">
        <v>38</v>
      </c>
      <c r="K51" s="173" t="str">
        <f>HLOOKUP(Language!$C$3,Language!$E$1:$Z480,19,FALSE)</f>
        <v>Not installed</v>
      </c>
      <c r="L51" s="220" t="s">
        <v>27</v>
      </c>
      <c r="M51" s="220"/>
      <c r="N51" s="220" t="s">
        <v>38</v>
      </c>
      <c r="O51" s="173" t="str">
        <f>HLOOKUP(Language!$C$3,Language!$E$1:$Z480,19,FALSE)</f>
        <v>Not installed</v>
      </c>
      <c r="P51" s="220" t="s">
        <v>27</v>
      </c>
      <c r="Q51" s="220"/>
      <c r="R51" s="220" t="s">
        <v>38</v>
      </c>
      <c r="S51" s="173" t="str">
        <f>HLOOKUP(Language!$C$3,Language!$E$1:$Z480,19,FALSE)</f>
        <v>Not installed</v>
      </c>
      <c r="T51" s="220" t="s">
        <v>27</v>
      </c>
      <c r="U51" s="220"/>
      <c r="V51" s="220" t="s">
        <v>38</v>
      </c>
      <c r="W51" s="173" t="str">
        <f>HLOOKUP(Language!$C$3,Language!$E$1:$Z480,19,FALSE)</f>
        <v>Not installed</v>
      </c>
      <c r="X51" s="220" t="s">
        <v>27</v>
      </c>
      <c r="Y51" s="220"/>
      <c r="Z51" s="220" t="s">
        <v>38</v>
      </c>
      <c r="AA51" s="173" t="str">
        <f>HLOOKUP(Language!$C$3,Language!$E$1:$Z480,19,FALSE)</f>
        <v>Not installed</v>
      </c>
      <c r="AB51" s="220" t="s">
        <v>27</v>
      </c>
      <c r="AC51" s="220"/>
      <c r="AD51" s="220" t="s">
        <v>38</v>
      </c>
      <c r="AE51" s="173" t="str">
        <f>HLOOKUP(Language!$C$3,Language!$E$1:$Z480,19,FALSE)</f>
        <v>Not installed</v>
      </c>
      <c r="AF51" s="220" t="s">
        <v>27</v>
      </c>
      <c r="AG51" s="220"/>
      <c r="AH51" s="220" t="s">
        <v>38</v>
      </c>
    </row>
    <row r="52" spans="1:34">
      <c r="A52" s="162"/>
      <c r="B52" s="22"/>
      <c r="C52" s="163"/>
      <c r="D52" s="163"/>
      <c r="E52" s="163"/>
      <c r="F52" s="163"/>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row>
    <row r="53" spans="1:34">
      <c r="A53" s="158">
        <v>9</v>
      </c>
      <c r="B53" s="16" t="str">
        <f>HLOOKUP(Language!$C$3,Language!$E$1:$Z486,30,FALSE)</f>
        <v>Interface Module 3</v>
      </c>
      <c r="C53" s="219" t="str">
        <f>HLOOKUP(Language!$C$3,Language!$E$1:$Z505,34,FALSE)</f>
        <v>Four 1 Gbps RJ45 copper 10/100BASE-TX/1000BASE-T Ethernet ports</v>
      </c>
      <c r="D53" s="159" t="s">
        <v>25</v>
      </c>
      <c r="E53" s="159"/>
      <c r="F53" s="159" t="s">
        <v>38</v>
      </c>
      <c r="G53" s="219" t="str">
        <f>HLOOKUP(Language!$C$3,Language!$E$1:$Z505,34,FALSE)</f>
        <v>Four 1 Gbps RJ45 copper 10/100BASE-TX/1000BASE-T Ethernet ports</v>
      </c>
      <c r="H53" s="219" t="s">
        <v>25</v>
      </c>
      <c r="I53" s="219"/>
      <c r="J53" s="219" t="s">
        <v>38</v>
      </c>
      <c r="K53" s="219" t="str">
        <f>HLOOKUP(Language!$C$3,Language!$E$1:$Z505,34,FALSE)</f>
        <v>Four 1 Gbps RJ45 copper 10/100BASE-TX/1000BASE-T Ethernet ports</v>
      </c>
      <c r="L53" s="219" t="s">
        <v>25</v>
      </c>
      <c r="M53" s="219"/>
      <c r="N53" s="219" t="s">
        <v>38</v>
      </c>
      <c r="O53" s="219" t="str">
        <f>HLOOKUP(Language!$C$3,Language!$E$1:$Z505,34,FALSE)</f>
        <v>Four 1 Gbps RJ45 copper 10/100BASE-TX/1000BASE-T Ethernet ports</v>
      </c>
      <c r="P53" s="219" t="s">
        <v>25</v>
      </c>
      <c r="Q53" s="219"/>
      <c r="R53" s="219" t="s">
        <v>38</v>
      </c>
      <c r="S53" s="219" t="str">
        <f>HLOOKUP(Language!$C$3,Language!$E$1:$Z505,34,FALSE)</f>
        <v>Four 1 Gbps RJ45 copper 10/100BASE-TX/1000BASE-T Ethernet ports</v>
      </c>
      <c r="T53" s="219" t="s">
        <v>25</v>
      </c>
      <c r="U53" s="219"/>
      <c r="V53" s="219" t="s">
        <v>38</v>
      </c>
      <c r="W53" s="219" t="str">
        <f>HLOOKUP(Language!$C$3,Language!$E$1:$Z505,34,FALSE)</f>
        <v>Four 1 Gbps RJ45 copper 10/100BASE-TX/1000BASE-T Ethernet ports</v>
      </c>
      <c r="X53" s="219" t="s">
        <v>25</v>
      </c>
      <c r="Y53" s="219"/>
      <c r="Z53" s="219" t="s">
        <v>38</v>
      </c>
      <c r="AA53" s="219" t="str">
        <f>HLOOKUP(Language!$C$3,Language!$E$1:$Z505,34,FALSE)</f>
        <v>Four 1 Gbps RJ45 copper 10/100BASE-TX/1000BASE-T Ethernet ports</v>
      </c>
      <c r="AB53" s="219" t="s">
        <v>25</v>
      </c>
      <c r="AC53" s="219"/>
      <c r="AD53" s="219" t="s">
        <v>38</v>
      </c>
      <c r="AE53" s="219" t="str">
        <f>HLOOKUP(Language!$C$3,Language!$E$1:$Z505,34,FALSE)</f>
        <v>Four 1 Gbps RJ45 copper 10/100BASE-TX/1000BASE-T Ethernet ports</v>
      </c>
      <c r="AF53" s="219" t="s">
        <v>25</v>
      </c>
      <c r="AG53" s="219"/>
      <c r="AH53" s="219" t="s">
        <v>38</v>
      </c>
    </row>
    <row r="54" spans="1:34">
      <c r="A54" s="160"/>
      <c r="B54" s="17"/>
      <c r="C54" s="220" t="str">
        <f>HLOOKUP(Language!$C$3,Language!$E$1:$Z506,35,FALSE)</f>
        <v>Four slots for SFP transceivers</v>
      </c>
      <c r="D54" s="161" t="s">
        <v>26</v>
      </c>
      <c r="E54" s="110"/>
      <c r="F54" s="161" t="s">
        <v>38</v>
      </c>
      <c r="G54" s="220" t="str">
        <f>HLOOKUP(Language!$C$3,Language!$E$1:$Z506,35,FALSE)</f>
        <v>Four slots for SFP transceivers</v>
      </c>
      <c r="H54" s="220" t="s">
        <v>26</v>
      </c>
      <c r="I54" s="110"/>
      <c r="J54" s="220" t="s">
        <v>38</v>
      </c>
      <c r="K54" s="220" t="str">
        <f>HLOOKUP(Language!$C$3,Language!$E$1:$Z506,35,FALSE)</f>
        <v>Four slots for SFP transceivers</v>
      </c>
      <c r="L54" s="220" t="s">
        <v>26</v>
      </c>
      <c r="M54" s="110"/>
      <c r="N54" s="220" t="s">
        <v>38</v>
      </c>
      <c r="O54" s="220" t="str">
        <f>HLOOKUP(Language!$C$3,Language!$E$1:$Z506,35,FALSE)</f>
        <v>Four slots for SFP transceivers</v>
      </c>
      <c r="P54" s="220" t="s">
        <v>26</v>
      </c>
      <c r="Q54" s="110"/>
      <c r="R54" s="220" t="s">
        <v>38</v>
      </c>
      <c r="S54" s="220" t="str">
        <f>HLOOKUP(Language!$C$3,Language!$E$1:$Z506,35,FALSE)</f>
        <v>Four slots for SFP transceivers</v>
      </c>
      <c r="T54" s="220" t="s">
        <v>26</v>
      </c>
      <c r="U54" s="110"/>
      <c r="V54" s="220" t="s">
        <v>38</v>
      </c>
      <c r="W54" s="220" t="str">
        <f>HLOOKUP(Language!$C$3,Language!$E$1:$Z506,35,FALSE)</f>
        <v>Four slots for SFP transceivers</v>
      </c>
      <c r="X54" s="220" t="s">
        <v>26</v>
      </c>
      <c r="Y54" s="110"/>
      <c r="Z54" s="220" t="s">
        <v>38</v>
      </c>
      <c r="AA54" s="220" t="str">
        <f>HLOOKUP(Language!$C$3,Language!$E$1:$Z506,35,FALSE)</f>
        <v>Four slots for SFP transceivers</v>
      </c>
      <c r="AB54" s="220" t="s">
        <v>26</v>
      </c>
      <c r="AC54" s="110"/>
      <c r="AD54" s="220" t="s">
        <v>38</v>
      </c>
      <c r="AE54" s="220" t="str">
        <f>HLOOKUP(Language!$C$3,Language!$E$1:$Z506,35,FALSE)</f>
        <v>Four slots for SFP transceivers</v>
      </c>
      <c r="AF54" s="220" t="s">
        <v>26</v>
      </c>
      <c r="AG54" s="110"/>
      <c r="AH54" s="220" t="s">
        <v>38</v>
      </c>
    </row>
    <row r="55" spans="1:34">
      <c r="A55" s="160"/>
      <c r="B55" s="17"/>
      <c r="C55" s="220" t="str">
        <f>HLOOKUP(Language!$C$3,Language!$E$1:$Z507,36,FALSE)</f>
        <v>Four 1 Gbps LC-type SFP transceivers multi mode fiber 1000BASE-SX Ethernet for up to 0.5 km</v>
      </c>
      <c r="D55" s="161" t="s">
        <v>28</v>
      </c>
      <c r="E55" s="161"/>
      <c r="F55" s="161" t="s">
        <v>38</v>
      </c>
      <c r="G55" s="220" t="str">
        <f>HLOOKUP(Language!$C$3,Language!$E$1:$Z507,36,FALSE)</f>
        <v>Four 1 Gbps LC-type SFP transceivers multi mode fiber 1000BASE-SX Ethernet for up to 0.5 km</v>
      </c>
      <c r="H55" s="220" t="s">
        <v>28</v>
      </c>
      <c r="I55" s="220"/>
      <c r="J55" s="220" t="s">
        <v>38</v>
      </c>
      <c r="K55" s="220" t="str">
        <f>HLOOKUP(Language!$C$3,Language!$E$1:$Z507,36,FALSE)</f>
        <v>Four 1 Gbps LC-type SFP transceivers multi mode fiber 1000BASE-SX Ethernet for up to 0.5 km</v>
      </c>
      <c r="L55" s="220" t="s">
        <v>28</v>
      </c>
      <c r="M55" s="220"/>
      <c r="N55" s="220" t="s">
        <v>38</v>
      </c>
      <c r="O55" s="220" t="str">
        <f>HLOOKUP(Language!$C$3,Language!$E$1:$Z507,36,FALSE)</f>
        <v>Four 1 Gbps LC-type SFP transceivers multi mode fiber 1000BASE-SX Ethernet for up to 0.5 km</v>
      </c>
      <c r="P55" s="220" t="s">
        <v>28</v>
      </c>
      <c r="Q55" s="220"/>
      <c r="R55" s="220" t="s">
        <v>38</v>
      </c>
      <c r="S55" s="220" t="str">
        <f>HLOOKUP(Language!$C$3,Language!$E$1:$Z507,36,FALSE)</f>
        <v>Four 1 Gbps LC-type SFP transceivers multi mode fiber 1000BASE-SX Ethernet for up to 0.5 km</v>
      </c>
      <c r="T55" s="220" t="s">
        <v>28</v>
      </c>
      <c r="U55" s="220"/>
      <c r="V55" s="220" t="s">
        <v>38</v>
      </c>
      <c r="W55" s="220" t="str">
        <f>HLOOKUP(Language!$C$3,Language!$E$1:$Z507,36,FALSE)</f>
        <v>Four 1 Gbps LC-type SFP transceivers multi mode fiber 1000BASE-SX Ethernet for up to 0.5 km</v>
      </c>
      <c r="X55" s="220" t="s">
        <v>28</v>
      </c>
      <c r="Y55" s="220"/>
      <c r="Z55" s="220" t="s">
        <v>38</v>
      </c>
      <c r="AA55" s="220" t="str">
        <f>HLOOKUP(Language!$C$3,Language!$E$1:$Z507,36,FALSE)</f>
        <v>Four 1 Gbps LC-type SFP transceivers multi mode fiber 1000BASE-SX Ethernet for up to 0.5 km</v>
      </c>
      <c r="AB55" s="220" t="s">
        <v>28</v>
      </c>
      <c r="AC55" s="220"/>
      <c r="AD55" s="220" t="s">
        <v>38</v>
      </c>
      <c r="AE55" s="220" t="str">
        <f>HLOOKUP(Language!$C$3,Language!$E$1:$Z507,36,FALSE)</f>
        <v>Four 1 Gbps LC-type SFP transceivers multi mode fiber 1000BASE-SX Ethernet for up to 0.5 km</v>
      </c>
      <c r="AF55" s="220" t="s">
        <v>28</v>
      </c>
      <c r="AG55" s="220"/>
      <c r="AH55" s="220" t="s">
        <v>38</v>
      </c>
    </row>
    <row r="56" spans="1:34">
      <c r="A56" s="160"/>
      <c r="B56" s="17"/>
      <c r="C56" s="220" t="str">
        <f>HLOOKUP(Language!$C$3,Language!$E$1:$Z508,37,FALSE)</f>
        <v>Four 1 Gbps LC-type SFP transceivers single mode fiber 1000BASE-LX Ethernet for up to 20 km</v>
      </c>
      <c r="D56" s="161" t="s">
        <v>29</v>
      </c>
      <c r="E56" s="161"/>
      <c r="F56" s="161" t="s">
        <v>38</v>
      </c>
      <c r="G56" s="220" t="str">
        <f>HLOOKUP(Language!$C$3,Language!$E$1:$Z508,37,FALSE)</f>
        <v>Four 1 Gbps LC-type SFP transceivers single mode fiber 1000BASE-LX Ethernet for up to 20 km</v>
      </c>
      <c r="H56" s="220" t="s">
        <v>29</v>
      </c>
      <c r="I56" s="220"/>
      <c r="J56" s="220" t="s">
        <v>38</v>
      </c>
      <c r="K56" s="220" t="str">
        <f>HLOOKUP(Language!$C$3,Language!$E$1:$Z508,37,FALSE)</f>
        <v>Four 1 Gbps LC-type SFP transceivers single mode fiber 1000BASE-LX Ethernet for up to 20 km</v>
      </c>
      <c r="L56" s="220" t="s">
        <v>29</v>
      </c>
      <c r="M56" s="220"/>
      <c r="N56" s="220" t="s">
        <v>38</v>
      </c>
      <c r="O56" s="220" t="str">
        <f>HLOOKUP(Language!$C$3,Language!$E$1:$Z508,37,FALSE)</f>
        <v>Four 1 Gbps LC-type SFP transceivers single mode fiber 1000BASE-LX Ethernet for up to 20 km</v>
      </c>
      <c r="P56" s="220" t="s">
        <v>29</v>
      </c>
      <c r="Q56" s="220"/>
      <c r="R56" s="220" t="s">
        <v>38</v>
      </c>
      <c r="S56" s="220" t="str">
        <f>HLOOKUP(Language!$C$3,Language!$E$1:$Z508,37,FALSE)</f>
        <v>Four 1 Gbps LC-type SFP transceivers single mode fiber 1000BASE-LX Ethernet for up to 20 km</v>
      </c>
      <c r="T56" s="220" t="s">
        <v>29</v>
      </c>
      <c r="U56" s="220"/>
      <c r="V56" s="220" t="s">
        <v>38</v>
      </c>
      <c r="W56" s="220" t="str">
        <f>HLOOKUP(Language!$C$3,Language!$E$1:$Z508,37,FALSE)</f>
        <v>Four 1 Gbps LC-type SFP transceivers single mode fiber 1000BASE-LX Ethernet for up to 20 km</v>
      </c>
      <c r="X56" s="220" t="s">
        <v>29</v>
      </c>
      <c r="Y56" s="220"/>
      <c r="Z56" s="220" t="s">
        <v>38</v>
      </c>
      <c r="AA56" s="220" t="str">
        <f>HLOOKUP(Language!$C$3,Language!$E$1:$Z508,37,FALSE)</f>
        <v>Four 1 Gbps LC-type SFP transceivers single mode fiber 1000BASE-LX Ethernet for up to 20 km</v>
      </c>
      <c r="AB56" s="220" t="s">
        <v>29</v>
      </c>
      <c r="AC56" s="220"/>
      <c r="AD56" s="220" t="s">
        <v>38</v>
      </c>
      <c r="AE56" s="220" t="str">
        <f>HLOOKUP(Language!$C$3,Language!$E$1:$Z508,37,FALSE)</f>
        <v>Four 1 Gbps LC-type SFP transceivers single mode fiber 1000BASE-LX Ethernet for up to 20 km</v>
      </c>
      <c r="AF56" s="220" t="s">
        <v>29</v>
      </c>
      <c r="AG56" s="220"/>
      <c r="AH56" s="220" t="s">
        <v>38</v>
      </c>
    </row>
    <row r="57" spans="1:34">
      <c r="A57" s="160"/>
      <c r="B57" s="17"/>
      <c r="C57" s="220" t="str">
        <f>HLOOKUP(Language!$C$3,Language!$E$1:$Z509,38,FALSE)</f>
        <v>Four 1 Gbps LC-type SFP transceivers single mode fiber 1000BASE-ZX Ethernet for up to 40 km</v>
      </c>
      <c r="D57" s="161" t="s">
        <v>39</v>
      </c>
      <c r="E57" s="161"/>
      <c r="F57" s="161" t="s">
        <v>38</v>
      </c>
      <c r="G57" s="220" t="str">
        <f>HLOOKUP(Language!$C$3,Language!$E$1:$Z509,38,FALSE)</f>
        <v>Four 1 Gbps LC-type SFP transceivers single mode fiber 1000BASE-ZX Ethernet for up to 40 km</v>
      </c>
      <c r="H57" s="220" t="s">
        <v>39</v>
      </c>
      <c r="I57" s="220"/>
      <c r="J57" s="220" t="s">
        <v>38</v>
      </c>
      <c r="K57" s="220" t="str">
        <f>HLOOKUP(Language!$C$3,Language!$E$1:$Z509,38,FALSE)</f>
        <v>Four 1 Gbps LC-type SFP transceivers single mode fiber 1000BASE-ZX Ethernet for up to 40 km</v>
      </c>
      <c r="L57" s="220" t="s">
        <v>39</v>
      </c>
      <c r="M57" s="220"/>
      <c r="N57" s="220" t="s">
        <v>38</v>
      </c>
      <c r="O57" s="220" t="str">
        <f>HLOOKUP(Language!$C$3,Language!$E$1:$Z509,38,FALSE)</f>
        <v>Four 1 Gbps LC-type SFP transceivers single mode fiber 1000BASE-ZX Ethernet for up to 40 km</v>
      </c>
      <c r="P57" s="220" t="s">
        <v>39</v>
      </c>
      <c r="Q57" s="220"/>
      <c r="R57" s="220" t="s">
        <v>38</v>
      </c>
      <c r="S57" s="220" t="str">
        <f>HLOOKUP(Language!$C$3,Language!$E$1:$Z509,38,FALSE)</f>
        <v>Four 1 Gbps LC-type SFP transceivers single mode fiber 1000BASE-ZX Ethernet for up to 40 km</v>
      </c>
      <c r="T57" s="220" t="s">
        <v>39</v>
      </c>
      <c r="U57" s="220"/>
      <c r="V57" s="220" t="s">
        <v>38</v>
      </c>
      <c r="W57" s="220" t="str">
        <f>HLOOKUP(Language!$C$3,Language!$E$1:$Z509,38,FALSE)</f>
        <v>Four 1 Gbps LC-type SFP transceivers single mode fiber 1000BASE-ZX Ethernet for up to 40 km</v>
      </c>
      <c r="X57" s="220" t="s">
        <v>39</v>
      </c>
      <c r="Y57" s="220"/>
      <c r="Z57" s="220" t="s">
        <v>38</v>
      </c>
      <c r="AA57" s="220" t="str">
        <f>HLOOKUP(Language!$C$3,Language!$E$1:$Z509,38,FALSE)</f>
        <v>Four 1 Gbps LC-type SFP transceivers single mode fiber 1000BASE-ZX Ethernet for up to 40 km</v>
      </c>
      <c r="AB57" s="220" t="s">
        <v>39</v>
      </c>
      <c r="AC57" s="220"/>
      <c r="AD57" s="220" t="s">
        <v>38</v>
      </c>
      <c r="AE57" s="220" t="str">
        <f>HLOOKUP(Language!$C$3,Language!$E$1:$Z509,38,FALSE)</f>
        <v>Four 1 Gbps LC-type SFP transceivers single mode fiber 1000BASE-ZX Ethernet for up to 40 km</v>
      </c>
      <c r="AF57" s="220" t="s">
        <v>39</v>
      </c>
      <c r="AG57" s="220"/>
      <c r="AH57" s="220" t="s">
        <v>38</v>
      </c>
    </row>
    <row r="58" spans="1:34">
      <c r="A58" s="160"/>
      <c r="B58" s="17"/>
      <c r="C58" s="220" t="str">
        <f>HLOOKUP(Language!$C$3,Language!$E$1:$Z510,39,FALSE)</f>
        <v>Four 1 Gbps LC-type SFP transceivers single mode fiber 1000BASE-ZX Ethernet for up to 80 km</v>
      </c>
      <c r="D58" s="161" t="s">
        <v>40</v>
      </c>
      <c r="E58" s="161"/>
      <c r="F58" s="161" t="s">
        <v>38</v>
      </c>
      <c r="G58" s="220" t="str">
        <f>HLOOKUP(Language!$C$3,Language!$E$1:$Z510,39,FALSE)</f>
        <v>Four 1 Gbps LC-type SFP transceivers single mode fiber 1000BASE-ZX Ethernet for up to 80 km</v>
      </c>
      <c r="H58" s="220" t="s">
        <v>40</v>
      </c>
      <c r="I58" s="220"/>
      <c r="J58" s="220" t="s">
        <v>38</v>
      </c>
      <c r="K58" s="220" t="str">
        <f>HLOOKUP(Language!$C$3,Language!$E$1:$Z510,39,FALSE)</f>
        <v>Four 1 Gbps LC-type SFP transceivers single mode fiber 1000BASE-ZX Ethernet for up to 80 km</v>
      </c>
      <c r="L58" s="220" t="s">
        <v>40</v>
      </c>
      <c r="M58" s="220"/>
      <c r="N58" s="220" t="s">
        <v>38</v>
      </c>
      <c r="O58" s="220" t="str">
        <f>HLOOKUP(Language!$C$3,Language!$E$1:$Z510,39,FALSE)</f>
        <v>Four 1 Gbps LC-type SFP transceivers single mode fiber 1000BASE-ZX Ethernet for up to 80 km</v>
      </c>
      <c r="P58" s="220" t="s">
        <v>40</v>
      </c>
      <c r="Q58" s="220"/>
      <c r="R58" s="220" t="s">
        <v>38</v>
      </c>
      <c r="S58" s="220" t="str">
        <f>HLOOKUP(Language!$C$3,Language!$E$1:$Z510,39,FALSE)</f>
        <v>Four 1 Gbps LC-type SFP transceivers single mode fiber 1000BASE-ZX Ethernet for up to 80 km</v>
      </c>
      <c r="T58" s="220" t="s">
        <v>40</v>
      </c>
      <c r="U58" s="220"/>
      <c r="V58" s="220" t="s">
        <v>38</v>
      </c>
      <c r="W58" s="220" t="str">
        <f>HLOOKUP(Language!$C$3,Language!$E$1:$Z510,39,FALSE)</f>
        <v>Four 1 Gbps LC-type SFP transceivers single mode fiber 1000BASE-ZX Ethernet for up to 80 km</v>
      </c>
      <c r="X58" s="220" t="s">
        <v>40</v>
      </c>
      <c r="Y58" s="220"/>
      <c r="Z58" s="220" t="s">
        <v>38</v>
      </c>
      <c r="AA58" s="220" t="str">
        <f>HLOOKUP(Language!$C$3,Language!$E$1:$Z510,39,FALSE)</f>
        <v>Four 1 Gbps LC-type SFP transceivers single mode fiber 1000BASE-ZX Ethernet for up to 80 km</v>
      </c>
      <c r="AB58" s="220" t="s">
        <v>40</v>
      </c>
      <c r="AC58" s="220"/>
      <c r="AD58" s="220" t="s">
        <v>38</v>
      </c>
      <c r="AE58" s="220" t="str">
        <f>HLOOKUP(Language!$C$3,Language!$E$1:$Z510,39,FALSE)</f>
        <v>Four 1 Gbps LC-type SFP transceivers single mode fiber 1000BASE-ZX Ethernet for up to 80 km</v>
      </c>
      <c r="AF58" s="220" t="s">
        <v>40</v>
      </c>
      <c r="AG58" s="220"/>
      <c r="AH58" s="220" t="s">
        <v>38</v>
      </c>
    </row>
    <row r="59" spans="1:34">
      <c r="A59" s="160"/>
      <c r="B59" s="17"/>
      <c r="C59" s="220" t="str">
        <f>HLOOKUP(Language!$C$3,Language!$E$1:$Z511,40,FALSE)</f>
        <v>Four 100 Mbps LC-type SFP transceivers multi mode fiber 100BASE-FX Ethernet for up to 2 km</v>
      </c>
      <c r="D59" s="161" t="s">
        <v>41</v>
      </c>
      <c r="E59" s="161"/>
      <c r="F59" s="161" t="s">
        <v>38</v>
      </c>
      <c r="G59" s="220" t="str">
        <f>HLOOKUP(Language!$C$3,Language!$E$1:$Z511,40,FALSE)</f>
        <v>Four 100 Mbps LC-type SFP transceivers multi mode fiber 100BASE-FX Ethernet for up to 2 km</v>
      </c>
      <c r="H59" s="220" t="s">
        <v>41</v>
      </c>
      <c r="I59" s="220"/>
      <c r="J59" s="220" t="s">
        <v>38</v>
      </c>
      <c r="K59" s="220" t="str">
        <f>HLOOKUP(Language!$C$3,Language!$E$1:$Z511,40,FALSE)</f>
        <v>Four 100 Mbps LC-type SFP transceivers multi mode fiber 100BASE-FX Ethernet for up to 2 km</v>
      </c>
      <c r="L59" s="220" t="s">
        <v>41</v>
      </c>
      <c r="M59" s="220"/>
      <c r="N59" s="220" t="s">
        <v>38</v>
      </c>
      <c r="O59" s="220" t="str">
        <f>HLOOKUP(Language!$C$3,Language!$E$1:$Z511,40,FALSE)</f>
        <v>Four 100 Mbps LC-type SFP transceivers multi mode fiber 100BASE-FX Ethernet for up to 2 km</v>
      </c>
      <c r="P59" s="220" t="s">
        <v>41</v>
      </c>
      <c r="Q59" s="220"/>
      <c r="R59" s="220" t="s">
        <v>38</v>
      </c>
      <c r="S59" s="220" t="str">
        <f>HLOOKUP(Language!$C$3,Language!$E$1:$Z511,40,FALSE)</f>
        <v>Four 100 Mbps LC-type SFP transceivers multi mode fiber 100BASE-FX Ethernet for up to 2 km</v>
      </c>
      <c r="T59" s="220" t="s">
        <v>41</v>
      </c>
      <c r="U59" s="220"/>
      <c r="V59" s="220" t="s">
        <v>38</v>
      </c>
      <c r="W59" s="220" t="str">
        <f>HLOOKUP(Language!$C$3,Language!$E$1:$Z511,40,FALSE)</f>
        <v>Four 100 Mbps LC-type SFP transceivers multi mode fiber 100BASE-FX Ethernet for up to 2 km</v>
      </c>
      <c r="X59" s="220" t="s">
        <v>41</v>
      </c>
      <c r="Y59" s="220"/>
      <c r="Z59" s="220" t="s">
        <v>38</v>
      </c>
      <c r="AA59" s="220" t="str">
        <f>HLOOKUP(Language!$C$3,Language!$E$1:$Z511,40,FALSE)</f>
        <v>Four 100 Mbps LC-type SFP transceivers multi mode fiber 100BASE-FX Ethernet for up to 2 km</v>
      </c>
      <c r="AB59" s="220" t="s">
        <v>41</v>
      </c>
      <c r="AC59" s="220"/>
      <c r="AD59" s="220" t="s">
        <v>38</v>
      </c>
      <c r="AE59" s="220" t="str">
        <f>HLOOKUP(Language!$C$3,Language!$E$1:$Z511,40,FALSE)</f>
        <v>Four 100 Mbps LC-type SFP transceivers multi mode fiber 100BASE-FX Ethernet for up to 2 km</v>
      </c>
      <c r="AF59" s="220" t="s">
        <v>41</v>
      </c>
      <c r="AG59" s="220"/>
      <c r="AH59" s="220" t="s">
        <v>38</v>
      </c>
    </row>
    <row r="60" spans="1:34">
      <c r="A60" s="160"/>
      <c r="B60" s="17"/>
      <c r="C60" s="220" t="str">
        <f>HLOOKUP(Language!$C$3,Language!$E$1:$Z512,41,FALSE)</f>
        <v>Four RJ45 copper 10/100BASE-TX</v>
      </c>
      <c r="D60" s="161" t="s">
        <v>83</v>
      </c>
      <c r="E60" s="161"/>
      <c r="F60" s="161" t="s">
        <v>38</v>
      </c>
      <c r="G60" s="220" t="str">
        <f>HLOOKUP(Language!$C$3,Language!$E$1:$Z512,41,FALSE)</f>
        <v>Four RJ45 copper 10/100BASE-TX</v>
      </c>
      <c r="H60" s="220" t="s">
        <v>83</v>
      </c>
      <c r="I60" s="220"/>
      <c r="J60" s="220" t="s">
        <v>38</v>
      </c>
      <c r="K60" s="220" t="str">
        <f>HLOOKUP(Language!$C$3,Language!$E$1:$Z512,41,FALSE)</f>
        <v>Four RJ45 copper 10/100BASE-TX</v>
      </c>
      <c r="L60" s="220" t="s">
        <v>83</v>
      </c>
      <c r="M60" s="220"/>
      <c r="N60" s="220" t="s">
        <v>38</v>
      </c>
      <c r="O60" s="220" t="str">
        <f>HLOOKUP(Language!$C$3,Language!$E$1:$Z512,41,FALSE)</f>
        <v>Four RJ45 copper 10/100BASE-TX</v>
      </c>
      <c r="P60" s="220" t="s">
        <v>83</v>
      </c>
      <c r="Q60" s="220"/>
      <c r="R60" s="220" t="s">
        <v>38</v>
      </c>
      <c r="S60" s="220" t="str">
        <f>HLOOKUP(Language!$C$3,Language!$E$1:$Z512,41,FALSE)</f>
        <v>Four RJ45 copper 10/100BASE-TX</v>
      </c>
      <c r="T60" s="220" t="s">
        <v>83</v>
      </c>
      <c r="U60" s="220"/>
      <c r="V60" s="220" t="s">
        <v>38</v>
      </c>
      <c r="W60" s="220" t="str">
        <f>HLOOKUP(Language!$C$3,Language!$E$1:$Z512,41,FALSE)</f>
        <v>Four RJ45 copper 10/100BASE-TX</v>
      </c>
      <c r="X60" s="220" t="s">
        <v>83</v>
      </c>
      <c r="Y60" s="220"/>
      <c r="Z60" s="220" t="s">
        <v>38</v>
      </c>
      <c r="AA60" s="220" t="str">
        <f>HLOOKUP(Language!$C$3,Language!$E$1:$Z512,41,FALSE)</f>
        <v>Four RJ45 copper 10/100BASE-TX</v>
      </c>
      <c r="AB60" s="220" t="s">
        <v>83</v>
      </c>
      <c r="AC60" s="220"/>
      <c r="AD60" s="220" t="s">
        <v>38</v>
      </c>
      <c r="AE60" s="220" t="str">
        <f>HLOOKUP(Language!$C$3,Language!$E$1:$Z512,41,FALSE)</f>
        <v>Four RJ45 copper 10/100BASE-TX</v>
      </c>
      <c r="AF60" s="220" t="s">
        <v>83</v>
      </c>
      <c r="AG60" s="220"/>
      <c r="AH60" s="220" t="s">
        <v>38</v>
      </c>
    </row>
    <row r="61" spans="1:34">
      <c r="A61" s="160"/>
      <c r="B61" s="17"/>
      <c r="C61" s="173" t="str">
        <f>HLOOKUP(Language!$C$3,Language!$E$1:$Z512,42,FALSE)</f>
        <v>Four 1 Gbps RJ45 SFP transceivers Ethernet 10/100BASE-TX/1000BASE-T (Not CE marked)</v>
      </c>
      <c r="D61" s="161" t="s">
        <v>79</v>
      </c>
      <c r="E61" s="161"/>
      <c r="F61" s="161" t="s">
        <v>38</v>
      </c>
      <c r="G61" s="173" t="str">
        <f>HLOOKUP(Language!$C$3,Language!$E$1:$Z512,79,FALSE)</f>
        <v>Four 1 Gbps RJ45 SFP transceivers Ethernet 10/100BASE-TX/1000BASE-T</v>
      </c>
      <c r="H61" s="220" t="s">
        <v>79</v>
      </c>
      <c r="I61" s="220"/>
      <c r="J61" s="220" t="s">
        <v>38</v>
      </c>
      <c r="K61" s="173" t="str">
        <f>HLOOKUP(Language!$C$3,Language!$E$1:$Z512,79,FALSE)</f>
        <v>Four 1 Gbps RJ45 SFP transceivers Ethernet 10/100BASE-TX/1000BASE-T</v>
      </c>
      <c r="L61" s="220" t="s">
        <v>79</v>
      </c>
      <c r="M61" s="220"/>
      <c r="N61" s="220" t="s">
        <v>38</v>
      </c>
      <c r="O61" s="173" t="str">
        <f>HLOOKUP(Language!$C$3,Language!$E$1:$Z512,79,FALSE)</f>
        <v>Four 1 Gbps RJ45 SFP transceivers Ethernet 10/100BASE-TX/1000BASE-T</v>
      </c>
      <c r="P61" s="220" t="s">
        <v>79</v>
      </c>
      <c r="Q61" s="220"/>
      <c r="R61" s="220" t="s">
        <v>38</v>
      </c>
      <c r="S61" s="173" t="str">
        <f>HLOOKUP(Language!$C$3,Language!$E$1:$Z512,79,FALSE)</f>
        <v>Four 1 Gbps RJ45 SFP transceivers Ethernet 10/100BASE-TX/1000BASE-T</v>
      </c>
      <c r="T61" s="220" t="s">
        <v>79</v>
      </c>
      <c r="U61" s="220"/>
      <c r="V61" s="220" t="s">
        <v>38</v>
      </c>
      <c r="W61" s="173" t="str">
        <f>HLOOKUP(Language!$C$3,Language!$E$1:$Z512,79,FALSE)</f>
        <v>Four 1 Gbps RJ45 SFP transceivers Ethernet 10/100BASE-TX/1000BASE-T</v>
      </c>
      <c r="X61" s="220" t="s">
        <v>79</v>
      </c>
      <c r="Y61" s="220"/>
      <c r="Z61" s="220" t="s">
        <v>38</v>
      </c>
      <c r="AA61" s="173" t="str">
        <f>HLOOKUP(Language!$C$3,Language!$E$1:$Z512,79,FALSE)</f>
        <v>Four 1 Gbps RJ45 SFP transceivers Ethernet 10/100BASE-TX/1000BASE-T</v>
      </c>
      <c r="AB61" s="220" t="s">
        <v>79</v>
      </c>
      <c r="AC61" s="220"/>
      <c r="AD61" s="220" t="s">
        <v>38</v>
      </c>
      <c r="AE61" s="173" t="str">
        <f>HLOOKUP(Language!$C$3,Language!$E$1:$Z512,79,FALSE)</f>
        <v>Four 1 Gbps RJ45 SFP transceivers Ethernet 10/100BASE-TX/1000BASE-T</v>
      </c>
      <c r="AF61" s="220" t="s">
        <v>79</v>
      </c>
      <c r="AG61" s="220"/>
      <c r="AH61" s="220" t="s">
        <v>38</v>
      </c>
    </row>
    <row r="62" spans="1:34">
      <c r="A62" s="160"/>
      <c r="B62" s="17"/>
      <c r="C62" s="173" t="str">
        <f>HLOOKUP(Language!$C$3,Language!$E$1:$Z491,19,FALSE)</f>
        <v>Not installed</v>
      </c>
      <c r="D62" s="161" t="s">
        <v>27</v>
      </c>
      <c r="E62" s="161"/>
      <c r="F62" s="161" t="s">
        <v>38</v>
      </c>
      <c r="G62" s="173" t="str">
        <f>HLOOKUP(Language!$C$3,Language!$E$1:$Z491,19,FALSE)</f>
        <v>Not installed</v>
      </c>
      <c r="H62" s="220" t="s">
        <v>27</v>
      </c>
      <c r="I62" s="220"/>
      <c r="J62" s="220" t="s">
        <v>38</v>
      </c>
      <c r="K62" s="173" t="str">
        <f>HLOOKUP(Language!$C$3,Language!$E$1:$Z491,19,FALSE)</f>
        <v>Not installed</v>
      </c>
      <c r="L62" s="220" t="s">
        <v>27</v>
      </c>
      <c r="M62" s="220"/>
      <c r="N62" s="220" t="s">
        <v>38</v>
      </c>
      <c r="O62" s="173" t="str">
        <f>HLOOKUP(Language!$C$3,Language!$E$1:$Z491,19,FALSE)</f>
        <v>Not installed</v>
      </c>
      <c r="P62" s="220" t="s">
        <v>27</v>
      </c>
      <c r="Q62" s="220"/>
      <c r="R62" s="220" t="s">
        <v>38</v>
      </c>
      <c r="S62" s="173" t="str">
        <f>HLOOKUP(Language!$C$3,Language!$E$1:$Z491,19,FALSE)</f>
        <v>Not installed</v>
      </c>
      <c r="T62" s="220" t="s">
        <v>27</v>
      </c>
      <c r="U62" s="220"/>
      <c r="V62" s="220" t="s">
        <v>38</v>
      </c>
      <c r="W62" s="173" t="str">
        <f>HLOOKUP(Language!$C$3,Language!$E$1:$Z491,19,FALSE)</f>
        <v>Not installed</v>
      </c>
      <c r="X62" s="220" t="s">
        <v>27</v>
      </c>
      <c r="Y62" s="220"/>
      <c r="Z62" s="220" t="s">
        <v>38</v>
      </c>
      <c r="AA62" s="173" t="str">
        <f>HLOOKUP(Language!$C$3,Language!$E$1:$Z491,19,FALSE)</f>
        <v>Not installed</v>
      </c>
      <c r="AB62" s="220" t="s">
        <v>27</v>
      </c>
      <c r="AC62" s="220"/>
      <c r="AD62" s="220" t="s">
        <v>38</v>
      </c>
      <c r="AE62" s="173" t="str">
        <f>HLOOKUP(Language!$C$3,Language!$E$1:$Z491,19,FALSE)</f>
        <v>Not installed</v>
      </c>
      <c r="AF62" s="220" t="s">
        <v>27</v>
      </c>
      <c r="AG62" s="220"/>
      <c r="AH62" s="220" t="s">
        <v>38</v>
      </c>
    </row>
    <row r="63" spans="1:34">
      <c r="A63" s="162"/>
      <c r="B63" s="22"/>
      <c r="C63" s="163"/>
      <c r="D63" s="163"/>
      <c r="E63" s="163"/>
      <c r="F63" s="163"/>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row>
    <row r="64" spans="1:34">
      <c r="A64" s="158">
        <v>10</v>
      </c>
      <c r="B64" s="16" t="str">
        <f>HLOOKUP(Language!$C$3,Language!$E$1:$Z496,31,FALSE)</f>
        <v>Interface Module 4</v>
      </c>
      <c r="C64" s="219" t="str">
        <f>HLOOKUP(Language!$C$3,Language!$E$1:$Z516,34,FALSE)</f>
        <v>Four 1 Gbps RJ45 copper 10/100BASE-TX/1000BASE-T Ethernet ports</v>
      </c>
      <c r="D64" s="159" t="s">
        <v>25</v>
      </c>
      <c r="E64" s="159"/>
      <c r="F64" s="159" t="s">
        <v>38</v>
      </c>
      <c r="G64" s="219" t="str">
        <f>HLOOKUP(Language!$C$3,Language!$E$1:$Z516,34,FALSE)</f>
        <v>Four 1 Gbps RJ45 copper 10/100BASE-TX/1000BASE-T Ethernet ports</v>
      </c>
      <c r="H64" s="219" t="s">
        <v>25</v>
      </c>
      <c r="I64" s="219"/>
      <c r="J64" s="219" t="s">
        <v>38</v>
      </c>
      <c r="K64" s="219" t="str">
        <f>HLOOKUP(Language!$C$3,Language!$E$1:$Z516,34,FALSE)</f>
        <v>Four 1 Gbps RJ45 copper 10/100BASE-TX/1000BASE-T Ethernet ports</v>
      </c>
      <c r="L64" s="219" t="s">
        <v>25</v>
      </c>
      <c r="M64" s="219"/>
      <c r="N64" s="219" t="s">
        <v>38</v>
      </c>
      <c r="O64" s="219" t="str">
        <f>HLOOKUP(Language!$C$3,Language!$E$1:$Z516,34,FALSE)</f>
        <v>Four 1 Gbps RJ45 copper 10/100BASE-TX/1000BASE-T Ethernet ports</v>
      </c>
      <c r="P64" s="219" t="s">
        <v>25</v>
      </c>
      <c r="Q64" s="219"/>
      <c r="R64" s="219" t="s">
        <v>38</v>
      </c>
      <c r="S64" s="219" t="str">
        <f>HLOOKUP(Language!$C$3,Language!$E$1:$Z516,34,FALSE)</f>
        <v>Four 1 Gbps RJ45 copper 10/100BASE-TX/1000BASE-T Ethernet ports</v>
      </c>
      <c r="T64" s="219" t="s">
        <v>25</v>
      </c>
      <c r="U64" s="219"/>
      <c r="V64" s="219" t="s">
        <v>38</v>
      </c>
      <c r="W64" s="219" t="str">
        <f>HLOOKUP(Language!$C$3,Language!$E$1:$Z516,34,FALSE)</f>
        <v>Four 1 Gbps RJ45 copper 10/100BASE-TX/1000BASE-T Ethernet ports</v>
      </c>
      <c r="X64" s="219" t="s">
        <v>25</v>
      </c>
      <c r="Y64" s="219"/>
      <c r="Z64" s="219" t="s">
        <v>38</v>
      </c>
      <c r="AA64" s="219" t="str">
        <f>HLOOKUP(Language!$C$3,Language!$E$1:$Z516,34,FALSE)</f>
        <v>Four 1 Gbps RJ45 copper 10/100BASE-TX/1000BASE-T Ethernet ports</v>
      </c>
      <c r="AB64" s="219" t="s">
        <v>25</v>
      </c>
      <c r="AC64" s="219"/>
      <c r="AD64" s="219" t="s">
        <v>38</v>
      </c>
      <c r="AE64" s="219" t="str">
        <f>HLOOKUP(Language!$C$3,Language!$E$1:$Z516,34,FALSE)</f>
        <v>Four 1 Gbps RJ45 copper 10/100BASE-TX/1000BASE-T Ethernet ports</v>
      </c>
      <c r="AF64" s="219" t="s">
        <v>25</v>
      </c>
      <c r="AG64" s="219"/>
      <c r="AH64" s="219" t="s">
        <v>38</v>
      </c>
    </row>
    <row r="65" spans="1:34">
      <c r="A65" s="160"/>
      <c r="B65" s="17"/>
      <c r="C65" s="220" t="str">
        <f>HLOOKUP(Language!$C$3,Language!$E$1:$Z517,35,FALSE)</f>
        <v>Four slots for SFP transceivers</v>
      </c>
      <c r="D65" s="161" t="s">
        <v>26</v>
      </c>
      <c r="E65" s="110"/>
      <c r="F65" s="161" t="s">
        <v>38</v>
      </c>
      <c r="G65" s="220" t="str">
        <f>HLOOKUP(Language!$C$3,Language!$E$1:$Z517,35,FALSE)</f>
        <v>Four slots for SFP transceivers</v>
      </c>
      <c r="H65" s="220" t="s">
        <v>26</v>
      </c>
      <c r="I65" s="110"/>
      <c r="J65" s="220" t="s">
        <v>38</v>
      </c>
      <c r="K65" s="220" t="str">
        <f>HLOOKUP(Language!$C$3,Language!$E$1:$Z517,35,FALSE)</f>
        <v>Four slots for SFP transceivers</v>
      </c>
      <c r="L65" s="220" t="s">
        <v>26</v>
      </c>
      <c r="M65" s="110"/>
      <c r="N65" s="220" t="s">
        <v>38</v>
      </c>
      <c r="O65" s="220" t="str">
        <f>HLOOKUP(Language!$C$3,Language!$E$1:$Z517,35,FALSE)</f>
        <v>Four slots for SFP transceivers</v>
      </c>
      <c r="P65" s="220" t="s">
        <v>26</v>
      </c>
      <c r="Q65" s="110"/>
      <c r="R65" s="220" t="s">
        <v>38</v>
      </c>
      <c r="S65" s="220" t="str">
        <f>HLOOKUP(Language!$C$3,Language!$E$1:$Z517,35,FALSE)</f>
        <v>Four slots for SFP transceivers</v>
      </c>
      <c r="T65" s="220" t="s">
        <v>26</v>
      </c>
      <c r="U65" s="110"/>
      <c r="V65" s="220" t="s">
        <v>38</v>
      </c>
      <c r="W65" s="220" t="str">
        <f>HLOOKUP(Language!$C$3,Language!$E$1:$Z517,35,FALSE)</f>
        <v>Four slots for SFP transceivers</v>
      </c>
      <c r="X65" s="220" t="s">
        <v>26</v>
      </c>
      <c r="Y65" s="110"/>
      <c r="Z65" s="220" t="s">
        <v>38</v>
      </c>
      <c r="AA65" s="220" t="str">
        <f>HLOOKUP(Language!$C$3,Language!$E$1:$Z517,35,FALSE)</f>
        <v>Four slots for SFP transceivers</v>
      </c>
      <c r="AB65" s="220" t="s">
        <v>26</v>
      </c>
      <c r="AC65" s="110"/>
      <c r="AD65" s="220" t="s">
        <v>38</v>
      </c>
      <c r="AE65" s="220" t="str">
        <f>HLOOKUP(Language!$C$3,Language!$E$1:$Z517,35,FALSE)</f>
        <v>Four slots for SFP transceivers</v>
      </c>
      <c r="AF65" s="220" t="s">
        <v>26</v>
      </c>
      <c r="AG65" s="110"/>
      <c r="AH65" s="220" t="s">
        <v>38</v>
      </c>
    </row>
    <row r="66" spans="1:34">
      <c r="A66" s="160"/>
      <c r="B66" s="17"/>
      <c r="C66" s="220" t="str">
        <f>HLOOKUP(Language!$C$3,Language!$E$1:$Z518,36,FALSE)</f>
        <v>Four 1 Gbps LC-type SFP transceivers multi mode fiber 1000BASE-SX Ethernet for up to 0.5 km</v>
      </c>
      <c r="D66" s="161" t="s">
        <v>28</v>
      </c>
      <c r="E66" s="161"/>
      <c r="F66" s="161" t="s">
        <v>38</v>
      </c>
      <c r="G66" s="220" t="str">
        <f>HLOOKUP(Language!$C$3,Language!$E$1:$Z518,36,FALSE)</f>
        <v>Four 1 Gbps LC-type SFP transceivers multi mode fiber 1000BASE-SX Ethernet for up to 0.5 km</v>
      </c>
      <c r="H66" s="220" t="s">
        <v>28</v>
      </c>
      <c r="I66" s="220"/>
      <c r="J66" s="220" t="s">
        <v>38</v>
      </c>
      <c r="K66" s="220" t="str">
        <f>HLOOKUP(Language!$C$3,Language!$E$1:$Z518,36,FALSE)</f>
        <v>Four 1 Gbps LC-type SFP transceivers multi mode fiber 1000BASE-SX Ethernet for up to 0.5 km</v>
      </c>
      <c r="L66" s="220" t="s">
        <v>28</v>
      </c>
      <c r="M66" s="220"/>
      <c r="N66" s="220" t="s">
        <v>38</v>
      </c>
      <c r="O66" s="220" t="str">
        <f>HLOOKUP(Language!$C$3,Language!$E$1:$Z518,36,FALSE)</f>
        <v>Four 1 Gbps LC-type SFP transceivers multi mode fiber 1000BASE-SX Ethernet for up to 0.5 km</v>
      </c>
      <c r="P66" s="220" t="s">
        <v>28</v>
      </c>
      <c r="Q66" s="220"/>
      <c r="R66" s="220" t="s">
        <v>38</v>
      </c>
      <c r="S66" s="220" t="str">
        <f>HLOOKUP(Language!$C$3,Language!$E$1:$Z518,36,FALSE)</f>
        <v>Four 1 Gbps LC-type SFP transceivers multi mode fiber 1000BASE-SX Ethernet for up to 0.5 km</v>
      </c>
      <c r="T66" s="220" t="s">
        <v>28</v>
      </c>
      <c r="U66" s="220"/>
      <c r="V66" s="220" t="s">
        <v>38</v>
      </c>
      <c r="W66" s="220" t="str">
        <f>HLOOKUP(Language!$C$3,Language!$E$1:$Z518,36,FALSE)</f>
        <v>Four 1 Gbps LC-type SFP transceivers multi mode fiber 1000BASE-SX Ethernet for up to 0.5 km</v>
      </c>
      <c r="X66" s="220" t="s">
        <v>28</v>
      </c>
      <c r="Y66" s="220"/>
      <c r="Z66" s="220" t="s">
        <v>38</v>
      </c>
      <c r="AA66" s="220" t="str">
        <f>HLOOKUP(Language!$C$3,Language!$E$1:$Z518,36,FALSE)</f>
        <v>Four 1 Gbps LC-type SFP transceivers multi mode fiber 1000BASE-SX Ethernet for up to 0.5 km</v>
      </c>
      <c r="AB66" s="220" t="s">
        <v>28</v>
      </c>
      <c r="AC66" s="220"/>
      <c r="AD66" s="220" t="s">
        <v>38</v>
      </c>
      <c r="AE66" s="220" t="str">
        <f>HLOOKUP(Language!$C$3,Language!$E$1:$Z518,36,FALSE)</f>
        <v>Four 1 Gbps LC-type SFP transceivers multi mode fiber 1000BASE-SX Ethernet for up to 0.5 km</v>
      </c>
      <c r="AF66" s="220" t="s">
        <v>28</v>
      </c>
      <c r="AG66" s="220"/>
      <c r="AH66" s="220" t="s">
        <v>38</v>
      </c>
    </row>
    <row r="67" spans="1:34">
      <c r="A67" s="160"/>
      <c r="B67" s="17"/>
      <c r="C67" s="220" t="str">
        <f>HLOOKUP(Language!$C$3,Language!$E$1:$Z519,37,FALSE)</f>
        <v>Four 1 Gbps LC-type SFP transceivers single mode fiber 1000BASE-LX Ethernet for up to 20 km</v>
      </c>
      <c r="D67" s="161" t="s">
        <v>29</v>
      </c>
      <c r="E67" s="161"/>
      <c r="F67" s="161" t="s">
        <v>38</v>
      </c>
      <c r="G67" s="220" t="str">
        <f>HLOOKUP(Language!$C$3,Language!$E$1:$Z519,37,FALSE)</f>
        <v>Four 1 Gbps LC-type SFP transceivers single mode fiber 1000BASE-LX Ethernet for up to 20 km</v>
      </c>
      <c r="H67" s="220" t="s">
        <v>29</v>
      </c>
      <c r="I67" s="220"/>
      <c r="J67" s="220" t="s">
        <v>38</v>
      </c>
      <c r="K67" s="220" t="str">
        <f>HLOOKUP(Language!$C$3,Language!$E$1:$Z519,37,FALSE)</f>
        <v>Four 1 Gbps LC-type SFP transceivers single mode fiber 1000BASE-LX Ethernet for up to 20 km</v>
      </c>
      <c r="L67" s="220" t="s">
        <v>29</v>
      </c>
      <c r="M67" s="220"/>
      <c r="N67" s="220" t="s">
        <v>38</v>
      </c>
      <c r="O67" s="220" t="str">
        <f>HLOOKUP(Language!$C$3,Language!$E$1:$Z519,37,FALSE)</f>
        <v>Four 1 Gbps LC-type SFP transceivers single mode fiber 1000BASE-LX Ethernet for up to 20 km</v>
      </c>
      <c r="P67" s="220" t="s">
        <v>29</v>
      </c>
      <c r="Q67" s="220"/>
      <c r="R67" s="220" t="s">
        <v>38</v>
      </c>
      <c r="S67" s="220" t="str">
        <f>HLOOKUP(Language!$C$3,Language!$E$1:$Z519,37,FALSE)</f>
        <v>Four 1 Gbps LC-type SFP transceivers single mode fiber 1000BASE-LX Ethernet for up to 20 km</v>
      </c>
      <c r="T67" s="220" t="s">
        <v>29</v>
      </c>
      <c r="U67" s="220"/>
      <c r="V67" s="220" t="s">
        <v>38</v>
      </c>
      <c r="W67" s="220" t="str">
        <f>HLOOKUP(Language!$C$3,Language!$E$1:$Z519,37,FALSE)</f>
        <v>Four 1 Gbps LC-type SFP transceivers single mode fiber 1000BASE-LX Ethernet for up to 20 km</v>
      </c>
      <c r="X67" s="220" t="s">
        <v>29</v>
      </c>
      <c r="Y67" s="220"/>
      <c r="Z67" s="220" t="s">
        <v>38</v>
      </c>
      <c r="AA67" s="220" t="str">
        <f>HLOOKUP(Language!$C$3,Language!$E$1:$Z519,37,FALSE)</f>
        <v>Four 1 Gbps LC-type SFP transceivers single mode fiber 1000BASE-LX Ethernet for up to 20 km</v>
      </c>
      <c r="AB67" s="220" t="s">
        <v>29</v>
      </c>
      <c r="AC67" s="220"/>
      <c r="AD67" s="220" t="s">
        <v>38</v>
      </c>
      <c r="AE67" s="220" t="str">
        <f>HLOOKUP(Language!$C$3,Language!$E$1:$Z519,37,FALSE)</f>
        <v>Four 1 Gbps LC-type SFP transceivers single mode fiber 1000BASE-LX Ethernet for up to 20 km</v>
      </c>
      <c r="AF67" s="220" t="s">
        <v>29</v>
      </c>
      <c r="AG67" s="220"/>
      <c r="AH67" s="220" t="s">
        <v>38</v>
      </c>
    </row>
    <row r="68" spans="1:34">
      <c r="A68" s="160"/>
      <c r="B68" s="17"/>
      <c r="C68" s="220" t="str">
        <f>HLOOKUP(Language!$C$3,Language!$E$1:$Z520,38,FALSE)</f>
        <v>Four 1 Gbps LC-type SFP transceivers single mode fiber 1000BASE-ZX Ethernet for up to 40 km</v>
      </c>
      <c r="D68" s="161" t="s">
        <v>39</v>
      </c>
      <c r="E68" s="161"/>
      <c r="F68" s="161" t="s">
        <v>38</v>
      </c>
      <c r="G68" s="220" t="str">
        <f>HLOOKUP(Language!$C$3,Language!$E$1:$Z520,38,FALSE)</f>
        <v>Four 1 Gbps LC-type SFP transceivers single mode fiber 1000BASE-ZX Ethernet for up to 40 km</v>
      </c>
      <c r="H68" s="220" t="s">
        <v>39</v>
      </c>
      <c r="I68" s="220"/>
      <c r="J68" s="220" t="s">
        <v>38</v>
      </c>
      <c r="K68" s="220" t="str">
        <f>HLOOKUP(Language!$C$3,Language!$E$1:$Z520,38,FALSE)</f>
        <v>Four 1 Gbps LC-type SFP transceivers single mode fiber 1000BASE-ZX Ethernet for up to 40 km</v>
      </c>
      <c r="L68" s="220" t="s">
        <v>39</v>
      </c>
      <c r="M68" s="220"/>
      <c r="N68" s="220" t="s">
        <v>38</v>
      </c>
      <c r="O68" s="220" t="str">
        <f>HLOOKUP(Language!$C$3,Language!$E$1:$Z520,38,FALSE)</f>
        <v>Four 1 Gbps LC-type SFP transceivers single mode fiber 1000BASE-ZX Ethernet for up to 40 km</v>
      </c>
      <c r="P68" s="220" t="s">
        <v>39</v>
      </c>
      <c r="Q68" s="220"/>
      <c r="R68" s="220" t="s">
        <v>38</v>
      </c>
      <c r="S68" s="220" t="str">
        <f>HLOOKUP(Language!$C$3,Language!$E$1:$Z520,38,FALSE)</f>
        <v>Four 1 Gbps LC-type SFP transceivers single mode fiber 1000BASE-ZX Ethernet for up to 40 km</v>
      </c>
      <c r="T68" s="220" t="s">
        <v>39</v>
      </c>
      <c r="U68" s="220"/>
      <c r="V68" s="220" t="s">
        <v>38</v>
      </c>
      <c r="W68" s="220" t="str">
        <f>HLOOKUP(Language!$C$3,Language!$E$1:$Z520,38,FALSE)</f>
        <v>Four 1 Gbps LC-type SFP transceivers single mode fiber 1000BASE-ZX Ethernet for up to 40 km</v>
      </c>
      <c r="X68" s="220" t="s">
        <v>39</v>
      </c>
      <c r="Y68" s="220"/>
      <c r="Z68" s="220" t="s">
        <v>38</v>
      </c>
      <c r="AA68" s="220" t="str">
        <f>HLOOKUP(Language!$C$3,Language!$E$1:$Z520,38,FALSE)</f>
        <v>Four 1 Gbps LC-type SFP transceivers single mode fiber 1000BASE-ZX Ethernet for up to 40 km</v>
      </c>
      <c r="AB68" s="220" t="s">
        <v>39</v>
      </c>
      <c r="AC68" s="220"/>
      <c r="AD68" s="220" t="s">
        <v>38</v>
      </c>
      <c r="AE68" s="220" t="str">
        <f>HLOOKUP(Language!$C$3,Language!$E$1:$Z520,38,FALSE)</f>
        <v>Four 1 Gbps LC-type SFP transceivers single mode fiber 1000BASE-ZX Ethernet for up to 40 km</v>
      </c>
      <c r="AF68" s="220" t="s">
        <v>39</v>
      </c>
      <c r="AG68" s="220"/>
      <c r="AH68" s="220" t="s">
        <v>38</v>
      </c>
    </row>
    <row r="69" spans="1:34">
      <c r="A69" s="160"/>
      <c r="B69" s="17"/>
      <c r="C69" s="220" t="str">
        <f>HLOOKUP(Language!$C$3,Language!$E$1:$Z521,39,FALSE)</f>
        <v>Four 1 Gbps LC-type SFP transceivers single mode fiber 1000BASE-ZX Ethernet for up to 80 km</v>
      </c>
      <c r="D69" s="161" t="s">
        <v>40</v>
      </c>
      <c r="E69" s="161"/>
      <c r="F69" s="161" t="s">
        <v>38</v>
      </c>
      <c r="G69" s="220" t="str">
        <f>HLOOKUP(Language!$C$3,Language!$E$1:$Z521,39,FALSE)</f>
        <v>Four 1 Gbps LC-type SFP transceivers single mode fiber 1000BASE-ZX Ethernet for up to 80 km</v>
      </c>
      <c r="H69" s="220" t="s">
        <v>40</v>
      </c>
      <c r="I69" s="220"/>
      <c r="J69" s="220" t="s">
        <v>38</v>
      </c>
      <c r="K69" s="220" t="str">
        <f>HLOOKUP(Language!$C$3,Language!$E$1:$Z521,39,FALSE)</f>
        <v>Four 1 Gbps LC-type SFP transceivers single mode fiber 1000BASE-ZX Ethernet for up to 80 km</v>
      </c>
      <c r="L69" s="220" t="s">
        <v>40</v>
      </c>
      <c r="M69" s="220"/>
      <c r="N69" s="220" t="s">
        <v>38</v>
      </c>
      <c r="O69" s="220" t="str">
        <f>HLOOKUP(Language!$C$3,Language!$E$1:$Z521,39,FALSE)</f>
        <v>Four 1 Gbps LC-type SFP transceivers single mode fiber 1000BASE-ZX Ethernet for up to 80 km</v>
      </c>
      <c r="P69" s="220" t="s">
        <v>40</v>
      </c>
      <c r="Q69" s="220"/>
      <c r="R69" s="220" t="s">
        <v>38</v>
      </c>
      <c r="S69" s="220" t="str">
        <f>HLOOKUP(Language!$C$3,Language!$E$1:$Z521,39,FALSE)</f>
        <v>Four 1 Gbps LC-type SFP transceivers single mode fiber 1000BASE-ZX Ethernet for up to 80 km</v>
      </c>
      <c r="T69" s="220" t="s">
        <v>40</v>
      </c>
      <c r="U69" s="220"/>
      <c r="V69" s="220" t="s">
        <v>38</v>
      </c>
      <c r="W69" s="220" t="str">
        <f>HLOOKUP(Language!$C$3,Language!$E$1:$Z521,39,FALSE)</f>
        <v>Four 1 Gbps LC-type SFP transceivers single mode fiber 1000BASE-ZX Ethernet for up to 80 km</v>
      </c>
      <c r="X69" s="220" t="s">
        <v>40</v>
      </c>
      <c r="Y69" s="220"/>
      <c r="Z69" s="220" t="s">
        <v>38</v>
      </c>
      <c r="AA69" s="220" t="str">
        <f>HLOOKUP(Language!$C$3,Language!$E$1:$Z521,39,FALSE)</f>
        <v>Four 1 Gbps LC-type SFP transceivers single mode fiber 1000BASE-ZX Ethernet for up to 80 km</v>
      </c>
      <c r="AB69" s="220" t="s">
        <v>40</v>
      </c>
      <c r="AC69" s="220"/>
      <c r="AD69" s="220" t="s">
        <v>38</v>
      </c>
      <c r="AE69" s="220" t="str">
        <f>HLOOKUP(Language!$C$3,Language!$E$1:$Z521,39,FALSE)</f>
        <v>Four 1 Gbps LC-type SFP transceivers single mode fiber 1000BASE-ZX Ethernet for up to 80 km</v>
      </c>
      <c r="AF69" s="220" t="s">
        <v>40</v>
      </c>
      <c r="AG69" s="220"/>
      <c r="AH69" s="220" t="s">
        <v>38</v>
      </c>
    </row>
    <row r="70" spans="1:34">
      <c r="A70" s="160"/>
      <c r="B70" s="17"/>
      <c r="C70" s="220" t="str">
        <f>HLOOKUP(Language!$C$3,Language!$E$1:$Z522,40,FALSE)</f>
        <v>Four 100 Mbps LC-type SFP transceivers multi mode fiber 100BASE-FX Ethernet for up to 2 km</v>
      </c>
      <c r="D70" s="161" t="s">
        <v>41</v>
      </c>
      <c r="E70" s="161"/>
      <c r="F70" s="161" t="s">
        <v>38</v>
      </c>
      <c r="G70" s="220" t="str">
        <f>HLOOKUP(Language!$C$3,Language!$E$1:$Z522,40,FALSE)</f>
        <v>Four 100 Mbps LC-type SFP transceivers multi mode fiber 100BASE-FX Ethernet for up to 2 km</v>
      </c>
      <c r="H70" s="220" t="s">
        <v>41</v>
      </c>
      <c r="I70" s="220"/>
      <c r="J70" s="220" t="s">
        <v>38</v>
      </c>
      <c r="K70" s="220" t="str">
        <f>HLOOKUP(Language!$C$3,Language!$E$1:$Z522,40,FALSE)</f>
        <v>Four 100 Mbps LC-type SFP transceivers multi mode fiber 100BASE-FX Ethernet for up to 2 km</v>
      </c>
      <c r="L70" s="220" t="s">
        <v>41</v>
      </c>
      <c r="M70" s="220"/>
      <c r="N70" s="220" t="s">
        <v>38</v>
      </c>
      <c r="O70" s="220" t="str">
        <f>HLOOKUP(Language!$C$3,Language!$E$1:$Z522,40,FALSE)</f>
        <v>Four 100 Mbps LC-type SFP transceivers multi mode fiber 100BASE-FX Ethernet for up to 2 km</v>
      </c>
      <c r="P70" s="220" t="s">
        <v>41</v>
      </c>
      <c r="Q70" s="220"/>
      <c r="R70" s="220" t="s">
        <v>38</v>
      </c>
      <c r="S70" s="220" t="str">
        <f>HLOOKUP(Language!$C$3,Language!$E$1:$Z522,40,FALSE)</f>
        <v>Four 100 Mbps LC-type SFP transceivers multi mode fiber 100BASE-FX Ethernet for up to 2 km</v>
      </c>
      <c r="T70" s="220" t="s">
        <v>41</v>
      </c>
      <c r="U70" s="220"/>
      <c r="V70" s="220" t="s">
        <v>38</v>
      </c>
      <c r="W70" s="220" t="str">
        <f>HLOOKUP(Language!$C$3,Language!$E$1:$Z522,40,FALSE)</f>
        <v>Four 100 Mbps LC-type SFP transceivers multi mode fiber 100BASE-FX Ethernet for up to 2 km</v>
      </c>
      <c r="X70" s="220" t="s">
        <v>41</v>
      </c>
      <c r="Y70" s="220"/>
      <c r="Z70" s="220" t="s">
        <v>38</v>
      </c>
      <c r="AA70" s="220" t="str">
        <f>HLOOKUP(Language!$C$3,Language!$E$1:$Z522,40,FALSE)</f>
        <v>Four 100 Mbps LC-type SFP transceivers multi mode fiber 100BASE-FX Ethernet for up to 2 km</v>
      </c>
      <c r="AB70" s="220" t="s">
        <v>41</v>
      </c>
      <c r="AC70" s="220"/>
      <c r="AD70" s="220" t="s">
        <v>38</v>
      </c>
      <c r="AE70" s="220" t="str">
        <f>HLOOKUP(Language!$C$3,Language!$E$1:$Z522,40,FALSE)</f>
        <v>Four 100 Mbps LC-type SFP transceivers multi mode fiber 100BASE-FX Ethernet for up to 2 km</v>
      </c>
      <c r="AF70" s="220" t="s">
        <v>41</v>
      </c>
      <c r="AG70" s="220"/>
      <c r="AH70" s="220" t="s">
        <v>38</v>
      </c>
    </row>
    <row r="71" spans="1:34">
      <c r="A71" s="160"/>
      <c r="B71" s="17"/>
      <c r="C71" s="220" t="str">
        <f>HLOOKUP(Language!$C$3,Language!$E$1:$Z523,41,FALSE)</f>
        <v>Four RJ45 copper 10/100BASE-TX</v>
      </c>
      <c r="D71" s="161" t="s">
        <v>83</v>
      </c>
      <c r="E71" s="161"/>
      <c r="F71" s="161" t="s">
        <v>38</v>
      </c>
      <c r="G71" s="220" t="str">
        <f>HLOOKUP(Language!$C$3,Language!$E$1:$Z523,41,FALSE)</f>
        <v>Four RJ45 copper 10/100BASE-TX</v>
      </c>
      <c r="H71" s="220" t="s">
        <v>83</v>
      </c>
      <c r="I71" s="220"/>
      <c r="J71" s="220" t="s">
        <v>38</v>
      </c>
      <c r="K71" s="220" t="str">
        <f>HLOOKUP(Language!$C$3,Language!$E$1:$Z523,41,FALSE)</f>
        <v>Four RJ45 copper 10/100BASE-TX</v>
      </c>
      <c r="L71" s="220" t="s">
        <v>83</v>
      </c>
      <c r="M71" s="220"/>
      <c r="N71" s="220" t="s">
        <v>38</v>
      </c>
      <c r="O71" s="220" t="str">
        <f>HLOOKUP(Language!$C$3,Language!$E$1:$Z523,41,FALSE)</f>
        <v>Four RJ45 copper 10/100BASE-TX</v>
      </c>
      <c r="P71" s="220" t="s">
        <v>83</v>
      </c>
      <c r="Q71" s="220"/>
      <c r="R71" s="220" t="s">
        <v>38</v>
      </c>
      <c r="S71" s="220" t="str">
        <f>HLOOKUP(Language!$C$3,Language!$E$1:$Z523,41,FALSE)</f>
        <v>Four RJ45 copper 10/100BASE-TX</v>
      </c>
      <c r="T71" s="220" t="s">
        <v>83</v>
      </c>
      <c r="U71" s="220"/>
      <c r="V71" s="220" t="s">
        <v>38</v>
      </c>
      <c r="W71" s="220" t="str">
        <f>HLOOKUP(Language!$C$3,Language!$E$1:$Z523,41,FALSE)</f>
        <v>Four RJ45 copper 10/100BASE-TX</v>
      </c>
      <c r="X71" s="220" t="s">
        <v>83</v>
      </c>
      <c r="Y71" s="220"/>
      <c r="Z71" s="220" t="s">
        <v>38</v>
      </c>
      <c r="AA71" s="220" t="str">
        <f>HLOOKUP(Language!$C$3,Language!$E$1:$Z523,41,FALSE)</f>
        <v>Four RJ45 copper 10/100BASE-TX</v>
      </c>
      <c r="AB71" s="220" t="s">
        <v>83</v>
      </c>
      <c r="AC71" s="220"/>
      <c r="AD71" s="220" t="s">
        <v>38</v>
      </c>
      <c r="AE71" s="220" t="str">
        <f>HLOOKUP(Language!$C$3,Language!$E$1:$Z523,41,FALSE)</f>
        <v>Four RJ45 copper 10/100BASE-TX</v>
      </c>
      <c r="AF71" s="220" t="s">
        <v>83</v>
      </c>
      <c r="AG71" s="220"/>
      <c r="AH71" s="220" t="s">
        <v>38</v>
      </c>
    </row>
    <row r="72" spans="1:34">
      <c r="A72" s="160"/>
      <c r="B72" s="17"/>
      <c r="C72" s="173" t="str">
        <f>HLOOKUP(Language!$C$3,Language!$E$1:$Z523,42,FALSE)</f>
        <v>Four 1 Gbps RJ45 SFP transceivers Ethernet 10/100BASE-TX/1000BASE-T (Not CE marked)</v>
      </c>
      <c r="D72" s="161" t="s">
        <v>79</v>
      </c>
      <c r="E72" s="161"/>
      <c r="F72" s="161" t="s">
        <v>38</v>
      </c>
      <c r="G72" s="173" t="str">
        <f>HLOOKUP(Language!$C$3,Language!$E$1:$Z523,79,FALSE)</f>
        <v>Four 1 Gbps RJ45 SFP transceivers Ethernet 10/100BASE-TX/1000BASE-T</v>
      </c>
      <c r="H72" s="220" t="s">
        <v>79</v>
      </c>
      <c r="I72" s="220"/>
      <c r="J72" s="220" t="s">
        <v>38</v>
      </c>
      <c r="K72" s="173" t="str">
        <f>HLOOKUP(Language!$C$3,Language!$E$1:$Z523,79,FALSE)</f>
        <v>Four 1 Gbps RJ45 SFP transceivers Ethernet 10/100BASE-TX/1000BASE-T</v>
      </c>
      <c r="L72" s="220" t="s">
        <v>79</v>
      </c>
      <c r="M72" s="220"/>
      <c r="N72" s="220" t="s">
        <v>38</v>
      </c>
      <c r="O72" s="173" t="str">
        <f>HLOOKUP(Language!$C$3,Language!$E$1:$Z523,79,FALSE)</f>
        <v>Four 1 Gbps RJ45 SFP transceivers Ethernet 10/100BASE-TX/1000BASE-T</v>
      </c>
      <c r="P72" s="220" t="s">
        <v>79</v>
      </c>
      <c r="Q72" s="220"/>
      <c r="R72" s="220" t="s">
        <v>38</v>
      </c>
      <c r="S72" s="173" t="str">
        <f>HLOOKUP(Language!$C$3,Language!$E$1:$Z523,79,FALSE)</f>
        <v>Four 1 Gbps RJ45 SFP transceivers Ethernet 10/100BASE-TX/1000BASE-T</v>
      </c>
      <c r="T72" s="220" t="s">
        <v>79</v>
      </c>
      <c r="U72" s="220"/>
      <c r="V72" s="220" t="s">
        <v>38</v>
      </c>
      <c r="W72" s="173" t="str">
        <f>HLOOKUP(Language!$C$3,Language!$E$1:$Z523,79,FALSE)</f>
        <v>Four 1 Gbps RJ45 SFP transceivers Ethernet 10/100BASE-TX/1000BASE-T</v>
      </c>
      <c r="X72" s="220" t="s">
        <v>79</v>
      </c>
      <c r="Y72" s="220"/>
      <c r="Z72" s="220" t="s">
        <v>38</v>
      </c>
      <c r="AA72" s="173" t="str">
        <f>HLOOKUP(Language!$C$3,Language!$E$1:$Z523,79,FALSE)</f>
        <v>Four 1 Gbps RJ45 SFP transceivers Ethernet 10/100BASE-TX/1000BASE-T</v>
      </c>
      <c r="AB72" s="220" t="s">
        <v>79</v>
      </c>
      <c r="AC72" s="220"/>
      <c r="AD72" s="220" t="s">
        <v>38</v>
      </c>
      <c r="AE72" s="173" t="str">
        <f>HLOOKUP(Language!$C$3,Language!$E$1:$Z523,79,FALSE)</f>
        <v>Four 1 Gbps RJ45 SFP transceivers Ethernet 10/100BASE-TX/1000BASE-T</v>
      </c>
      <c r="AF72" s="220" t="s">
        <v>79</v>
      </c>
      <c r="AG72" s="220"/>
      <c r="AH72" s="220" t="s">
        <v>38</v>
      </c>
    </row>
    <row r="73" spans="1:34">
      <c r="A73" s="160"/>
      <c r="B73" s="17"/>
      <c r="C73" s="173" t="str">
        <f>HLOOKUP(Language!$C$3,Language!$E$1:$Z502,19,FALSE)</f>
        <v>Not installed</v>
      </c>
      <c r="D73" s="161" t="s">
        <v>27</v>
      </c>
      <c r="E73" s="161"/>
      <c r="F73" s="161" t="s">
        <v>38</v>
      </c>
      <c r="G73" s="173" t="str">
        <f>HLOOKUP(Language!$C$3,Language!$E$1:$Z502,19,FALSE)</f>
        <v>Not installed</v>
      </c>
      <c r="H73" s="220" t="s">
        <v>27</v>
      </c>
      <c r="I73" s="220"/>
      <c r="J73" s="220" t="s">
        <v>38</v>
      </c>
      <c r="K73" s="173" t="str">
        <f>HLOOKUP(Language!$C$3,Language!$E$1:$Z502,19,FALSE)</f>
        <v>Not installed</v>
      </c>
      <c r="L73" s="220" t="s">
        <v>27</v>
      </c>
      <c r="M73" s="220"/>
      <c r="N73" s="220" t="s">
        <v>38</v>
      </c>
      <c r="O73" s="173" t="str">
        <f>HLOOKUP(Language!$C$3,Language!$E$1:$Z502,19,FALSE)</f>
        <v>Not installed</v>
      </c>
      <c r="P73" s="220" t="s">
        <v>27</v>
      </c>
      <c r="Q73" s="220"/>
      <c r="R73" s="220" t="s">
        <v>38</v>
      </c>
      <c r="S73" s="173" t="str">
        <f>HLOOKUP(Language!$C$3,Language!$E$1:$Z502,19,FALSE)</f>
        <v>Not installed</v>
      </c>
      <c r="T73" s="220" t="s">
        <v>27</v>
      </c>
      <c r="U73" s="220"/>
      <c r="V73" s="220" t="s">
        <v>38</v>
      </c>
      <c r="W73" s="173" t="str">
        <f>HLOOKUP(Language!$C$3,Language!$E$1:$Z502,19,FALSE)</f>
        <v>Not installed</v>
      </c>
      <c r="X73" s="220" t="s">
        <v>27</v>
      </c>
      <c r="Y73" s="220"/>
      <c r="Z73" s="220" t="s">
        <v>38</v>
      </c>
      <c r="AA73" s="173" t="str">
        <f>HLOOKUP(Language!$C$3,Language!$E$1:$Z502,19,FALSE)</f>
        <v>Not installed</v>
      </c>
      <c r="AB73" s="220" t="s">
        <v>27</v>
      </c>
      <c r="AC73" s="220"/>
      <c r="AD73" s="220" t="s">
        <v>38</v>
      </c>
      <c r="AE73" s="173" t="str">
        <f>HLOOKUP(Language!$C$3,Language!$E$1:$Z502,19,FALSE)</f>
        <v>Not installed</v>
      </c>
      <c r="AF73" s="220" t="s">
        <v>27</v>
      </c>
      <c r="AG73" s="220"/>
      <c r="AH73" s="220" t="s">
        <v>38</v>
      </c>
    </row>
    <row r="74" spans="1:34">
      <c r="A74" s="162"/>
      <c r="B74" s="22"/>
      <c r="C74" s="163"/>
      <c r="D74" s="163"/>
      <c r="E74" s="163"/>
      <c r="F74" s="163"/>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row>
    <row r="75" spans="1:34">
      <c r="A75" s="158">
        <v>11</v>
      </c>
      <c r="B75" s="16" t="str">
        <f>HLOOKUP(Language!$C$3,Language!$E$1:$Z496,32,FALSE)</f>
        <v>Interface Module 5</v>
      </c>
      <c r="C75" s="219" t="str">
        <f>HLOOKUP(Language!$C$3,Language!$E$1:$Z527,34,FALSE)</f>
        <v>Four 1 Gbps RJ45 copper 10/100BASE-TX/1000BASE-T Ethernet ports</v>
      </c>
      <c r="D75" s="159" t="s">
        <v>25</v>
      </c>
      <c r="E75" s="159"/>
      <c r="F75" s="159" t="s">
        <v>38</v>
      </c>
      <c r="G75" s="219" t="str">
        <f>HLOOKUP(Language!$C$3,Language!$E$1:$Z527,34,FALSE)</f>
        <v>Four 1 Gbps RJ45 copper 10/100BASE-TX/1000BASE-T Ethernet ports</v>
      </c>
      <c r="H75" s="219" t="s">
        <v>25</v>
      </c>
      <c r="I75" s="219"/>
      <c r="J75" s="219" t="s">
        <v>38</v>
      </c>
      <c r="K75" s="219" t="str">
        <f>HLOOKUP(Language!$C$3,Language!$E$1:$Z527,34,FALSE)</f>
        <v>Four 1 Gbps RJ45 copper 10/100BASE-TX/1000BASE-T Ethernet ports</v>
      </c>
      <c r="L75" s="219" t="s">
        <v>25</v>
      </c>
      <c r="M75" s="219"/>
      <c r="N75" s="219" t="s">
        <v>38</v>
      </c>
      <c r="O75" s="219" t="str">
        <f>HLOOKUP(Language!$C$3,Language!$E$1:$Z527,34,FALSE)</f>
        <v>Four 1 Gbps RJ45 copper 10/100BASE-TX/1000BASE-T Ethernet ports</v>
      </c>
      <c r="P75" s="219" t="s">
        <v>25</v>
      </c>
      <c r="Q75" s="219"/>
      <c r="R75" s="219" t="s">
        <v>38</v>
      </c>
      <c r="S75" s="219" t="str">
        <f>HLOOKUP(Language!$C$3,Language!$E$1:$Z527,34,FALSE)</f>
        <v>Four 1 Gbps RJ45 copper 10/100BASE-TX/1000BASE-T Ethernet ports</v>
      </c>
      <c r="T75" s="219" t="s">
        <v>25</v>
      </c>
      <c r="U75" s="219"/>
      <c r="V75" s="219" t="s">
        <v>38</v>
      </c>
      <c r="W75" s="219" t="str">
        <f>HLOOKUP(Language!$C$3,Language!$E$1:$Z527,34,FALSE)</f>
        <v>Four 1 Gbps RJ45 copper 10/100BASE-TX/1000BASE-T Ethernet ports</v>
      </c>
      <c r="X75" s="219" t="s">
        <v>25</v>
      </c>
      <c r="Y75" s="219"/>
      <c r="Z75" s="219" t="s">
        <v>38</v>
      </c>
      <c r="AA75" s="219" t="str">
        <f>HLOOKUP(Language!$C$3,Language!$E$1:$Z527,34,FALSE)</f>
        <v>Four 1 Gbps RJ45 copper 10/100BASE-TX/1000BASE-T Ethernet ports</v>
      </c>
      <c r="AB75" s="219" t="s">
        <v>25</v>
      </c>
      <c r="AC75" s="219"/>
      <c r="AD75" s="219" t="s">
        <v>38</v>
      </c>
      <c r="AE75" s="219" t="str">
        <f>HLOOKUP(Language!$C$3,Language!$E$1:$Z527,34,FALSE)</f>
        <v>Four 1 Gbps RJ45 copper 10/100BASE-TX/1000BASE-T Ethernet ports</v>
      </c>
      <c r="AF75" s="219" t="s">
        <v>25</v>
      </c>
      <c r="AG75" s="219"/>
      <c r="AH75" s="219" t="s">
        <v>38</v>
      </c>
    </row>
    <row r="76" spans="1:34">
      <c r="A76" s="160"/>
      <c r="B76" s="17"/>
      <c r="C76" s="220" t="str">
        <f>HLOOKUP(Language!$C$3,Language!$E$1:$Z528,35,FALSE)</f>
        <v>Four slots for SFP transceivers</v>
      </c>
      <c r="D76" s="161" t="s">
        <v>26</v>
      </c>
      <c r="E76" s="110"/>
      <c r="F76" s="161" t="s">
        <v>38</v>
      </c>
      <c r="G76" s="220" t="str">
        <f>HLOOKUP(Language!$C$3,Language!$E$1:$Z528,35,FALSE)</f>
        <v>Four slots for SFP transceivers</v>
      </c>
      <c r="H76" s="220" t="s">
        <v>26</v>
      </c>
      <c r="I76" s="110"/>
      <c r="J76" s="220" t="s">
        <v>38</v>
      </c>
      <c r="K76" s="220" t="str">
        <f>HLOOKUP(Language!$C$3,Language!$E$1:$Z528,35,FALSE)</f>
        <v>Four slots for SFP transceivers</v>
      </c>
      <c r="L76" s="220" t="s">
        <v>26</v>
      </c>
      <c r="M76" s="110"/>
      <c r="N76" s="220" t="s">
        <v>38</v>
      </c>
      <c r="O76" s="220" t="str">
        <f>HLOOKUP(Language!$C$3,Language!$E$1:$Z528,35,FALSE)</f>
        <v>Four slots for SFP transceivers</v>
      </c>
      <c r="P76" s="220" t="s">
        <v>26</v>
      </c>
      <c r="Q76" s="110"/>
      <c r="R76" s="220" t="s">
        <v>38</v>
      </c>
      <c r="S76" s="220" t="str">
        <f>HLOOKUP(Language!$C$3,Language!$E$1:$Z528,35,FALSE)</f>
        <v>Four slots for SFP transceivers</v>
      </c>
      <c r="T76" s="220" t="s">
        <v>26</v>
      </c>
      <c r="U76" s="110"/>
      <c r="V76" s="220" t="s">
        <v>38</v>
      </c>
      <c r="W76" s="220" t="str">
        <f>HLOOKUP(Language!$C$3,Language!$E$1:$Z528,35,FALSE)</f>
        <v>Four slots for SFP transceivers</v>
      </c>
      <c r="X76" s="220" t="s">
        <v>26</v>
      </c>
      <c r="Y76" s="110"/>
      <c r="Z76" s="220" t="s">
        <v>38</v>
      </c>
      <c r="AA76" s="220" t="str">
        <f>HLOOKUP(Language!$C$3,Language!$E$1:$Z528,35,FALSE)</f>
        <v>Four slots for SFP transceivers</v>
      </c>
      <c r="AB76" s="220" t="s">
        <v>26</v>
      </c>
      <c r="AC76" s="110"/>
      <c r="AD76" s="220" t="s">
        <v>38</v>
      </c>
      <c r="AE76" s="220" t="str">
        <f>HLOOKUP(Language!$C$3,Language!$E$1:$Z528,35,FALSE)</f>
        <v>Four slots for SFP transceivers</v>
      </c>
      <c r="AF76" s="220" t="s">
        <v>26</v>
      </c>
      <c r="AG76" s="110"/>
      <c r="AH76" s="220" t="s">
        <v>38</v>
      </c>
    </row>
    <row r="77" spans="1:34">
      <c r="A77" s="160"/>
      <c r="B77" s="17"/>
      <c r="C77" s="220" t="str">
        <f>HLOOKUP(Language!$C$3,Language!$E$1:$Z529,36,FALSE)</f>
        <v>Four 1 Gbps LC-type SFP transceivers multi mode fiber 1000BASE-SX Ethernet for up to 0.5 km</v>
      </c>
      <c r="D77" s="161" t="s">
        <v>28</v>
      </c>
      <c r="E77" s="161"/>
      <c r="F77" s="161" t="s">
        <v>38</v>
      </c>
      <c r="G77" s="220" t="str">
        <f>HLOOKUP(Language!$C$3,Language!$E$1:$Z529,36,FALSE)</f>
        <v>Four 1 Gbps LC-type SFP transceivers multi mode fiber 1000BASE-SX Ethernet for up to 0.5 km</v>
      </c>
      <c r="H77" s="220" t="s">
        <v>28</v>
      </c>
      <c r="I77" s="220"/>
      <c r="J77" s="220" t="s">
        <v>38</v>
      </c>
      <c r="K77" s="220" t="str">
        <f>HLOOKUP(Language!$C$3,Language!$E$1:$Z529,36,FALSE)</f>
        <v>Four 1 Gbps LC-type SFP transceivers multi mode fiber 1000BASE-SX Ethernet for up to 0.5 km</v>
      </c>
      <c r="L77" s="220" t="s">
        <v>28</v>
      </c>
      <c r="M77" s="220"/>
      <c r="N77" s="220" t="s">
        <v>38</v>
      </c>
      <c r="O77" s="220" t="str">
        <f>HLOOKUP(Language!$C$3,Language!$E$1:$Z529,36,FALSE)</f>
        <v>Four 1 Gbps LC-type SFP transceivers multi mode fiber 1000BASE-SX Ethernet for up to 0.5 km</v>
      </c>
      <c r="P77" s="220" t="s">
        <v>28</v>
      </c>
      <c r="Q77" s="220"/>
      <c r="R77" s="220" t="s">
        <v>38</v>
      </c>
      <c r="S77" s="220" t="str">
        <f>HLOOKUP(Language!$C$3,Language!$E$1:$Z529,36,FALSE)</f>
        <v>Four 1 Gbps LC-type SFP transceivers multi mode fiber 1000BASE-SX Ethernet for up to 0.5 km</v>
      </c>
      <c r="T77" s="220" t="s">
        <v>28</v>
      </c>
      <c r="U77" s="220"/>
      <c r="V77" s="220" t="s">
        <v>38</v>
      </c>
      <c r="W77" s="220" t="str">
        <f>HLOOKUP(Language!$C$3,Language!$E$1:$Z529,36,FALSE)</f>
        <v>Four 1 Gbps LC-type SFP transceivers multi mode fiber 1000BASE-SX Ethernet for up to 0.5 km</v>
      </c>
      <c r="X77" s="220" t="s">
        <v>28</v>
      </c>
      <c r="Y77" s="220"/>
      <c r="Z77" s="220" t="s">
        <v>38</v>
      </c>
      <c r="AA77" s="220" t="str">
        <f>HLOOKUP(Language!$C$3,Language!$E$1:$Z529,36,FALSE)</f>
        <v>Four 1 Gbps LC-type SFP transceivers multi mode fiber 1000BASE-SX Ethernet for up to 0.5 km</v>
      </c>
      <c r="AB77" s="220" t="s">
        <v>28</v>
      </c>
      <c r="AC77" s="220"/>
      <c r="AD77" s="220" t="s">
        <v>38</v>
      </c>
      <c r="AE77" s="220" t="str">
        <f>HLOOKUP(Language!$C$3,Language!$E$1:$Z529,36,FALSE)</f>
        <v>Four 1 Gbps LC-type SFP transceivers multi mode fiber 1000BASE-SX Ethernet for up to 0.5 km</v>
      </c>
      <c r="AF77" s="220" t="s">
        <v>28</v>
      </c>
      <c r="AG77" s="220"/>
      <c r="AH77" s="220" t="s">
        <v>38</v>
      </c>
    </row>
    <row r="78" spans="1:34">
      <c r="A78" s="160"/>
      <c r="B78" s="17"/>
      <c r="C78" s="220" t="str">
        <f>HLOOKUP(Language!$C$3,Language!$E$1:$Z530,37,FALSE)</f>
        <v>Four 1 Gbps LC-type SFP transceivers single mode fiber 1000BASE-LX Ethernet for up to 20 km</v>
      </c>
      <c r="D78" s="161" t="s">
        <v>29</v>
      </c>
      <c r="E78" s="161"/>
      <c r="F78" s="161" t="s">
        <v>38</v>
      </c>
      <c r="G78" s="220" t="str">
        <f>HLOOKUP(Language!$C$3,Language!$E$1:$Z530,37,FALSE)</f>
        <v>Four 1 Gbps LC-type SFP transceivers single mode fiber 1000BASE-LX Ethernet for up to 20 km</v>
      </c>
      <c r="H78" s="220" t="s">
        <v>29</v>
      </c>
      <c r="I78" s="220"/>
      <c r="J78" s="220" t="s">
        <v>38</v>
      </c>
      <c r="K78" s="220" t="str">
        <f>HLOOKUP(Language!$C$3,Language!$E$1:$Z530,37,FALSE)</f>
        <v>Four 1 Gbps LC-type SFP transceivers single mode fiber 1000BASE-LX Ethernet for up to 20 km</v>
      </c>
      <c r="L78" s="220" t="s">
        <v>29</v>
      </c>
      <c r="M78" s="220"/>
      <c r="N78" s="220" t="s">
        <v>38</v>
      </c>
      <c r="O78" s="220" t="str">
        <f>HLOOKUP(Language!$C$3,Language!$E$1:$Z530,37,FALSE)</f>
        <v>Four 1 Gbps LC-type SFP transceivers single mode fiber 1000BASE-LX Ethernet for up to 20 km</v>
      </c>
      <c r="P78" s="220" t="s">
        <v>29</v>
      </c>
      <c r="Q78" s="220"/>
      <c r="R78" s="220" t="s">
        <v>38</v>
      </c>
      <c r="S78" s="220" t="str">
        <f>HLOOKUP(Language!$C$3,Language!$E$1:$Z530,37,FALSE)</f>
        <v>Four 1 Gbps LC-type SFP transceivers single mode fiber 1000BASE-LX Ethernet for up to 20 km</v>
      </c>
      <c r="T78" s="220" t="s">
        <v>29</v>
      </c>
      <c r="U78" s="220"/>
      <c r="V78" s="220" t="s">
        <v>38</v>
      </c>
      <c r="W78" s="220" t="str">
        <f>HLOOKUP(Language!$C$3,Language!$E$1:$Z530,37,FALSE)</f>
        <v>Four 1 Gbps LC-type SFP transceivers single mode fiber 1000BASE-LX Ethernet for up to 20 km</v>
      </c>
      <c r="X78" s="220" t="s">
        <v>29</v>
      </c>
      <c r="Y78" s="220"/>
      <c r="Z78" s="220" t="s">
        <v>38</v>
      </c>
      <c r="AA78" s="220" t="str">
        <f>HLOOKUP(Language!$C$3,Language!$E$1:$Z530,37,FALSE)</f>
        <v>Four 1 Gbps LC-type SFP transceivers single mode fiber 1000BASE-LX Ethernet for up to 20 km</v>
      </c>
      <c r="AB78" s="220" t="s">
        <v>29</v>
      </c>
      <c r="AC78" s="220"/>
      <c r="AD78" s="220" t="s">
        <v>38</v>
      </c>
      <c r="AE78" s="220" t="str">
        <f>HLOOKUP(Language!$C$3,Language!$E$1:$Z530,37,FALSE)</f>
        <v>Four 1 Gbps LC-type SFP transceivers single mode fiber 1000BASE-LX Ethernet for up to 20 km</v>
      </c>
      <c r="AF78" s="220" t="s">
        <v>29</v>
      </c>
      <c r="AG78" s="220"/>
      <c r="AH78" s="220" t="s">
        <v>38</v>
      </c>
    </row>
    <row r="79" spans="1:34">
      <c r="A79" s="160"/>
      <c r="B79" s="17"/>
      <c r="C79" s="220" t="str">
        <f>HLOOKUP(Language!$C$3,Language!$E$1:$Z531,38,FALSE)</f>
        <v>Four 1 Gbps LC-type SFP transceivers single mode fiber 1000BASE-ZX Ethernet for up to 40 km</v>
      </c>
      <c r="D79" s="161" t="s">
        <v>39</v>
      </c>
      <c r="E79" s="161"/>
      <c r="F79" s="161" t="s">
        <v>38</v>
      </c>
      <c r="G79" s="220" t="str">
        <f>HLOOKUP(Language!$C$3,Language!$E$1:$Z531,38,FALSE)</f>
        <v>Four 1 Gbps LC-type SFP transceivers single mode fiber 1000BASE-ZX Ethernet for up to 40 km</v>
      </c>
      <c r="H79" s="220" t="s">
        <v>39</v>
      </c>
      <c r="I79" s="220"/>
      <c r="J79" s="220" t="s">
        <v>38</v>
      </c>
      <c r="K79" s="220" t="str">
        <f>HLOOKUP(Language!$C$3,Language!$E$1:$Z531,38,FALSE)</f>
        <v>Four 1 Gbps LC-type SFP transceivers single mode fiber 1000BASE-ZX Ethernet for up to 40 km</v>
      </c>
      <c r="L79" s="220" t="s">
        <v>39</v>
      </c>
      <c r="M79" s="220"/>
      <c r="N79" s="220" t="s">
        <v>38</v>
      </c>
      <c r="O79" s="220" t="str">
        <f>HLOOKUP(Language!$C$3,Language!$E$1:$Z531,38,FALSE)</f>
        <v>Four 1 Gbps LC-type SFP transceivers single mode fiber 1000BASE-ZX Ethernet for up to 40 km</v>
      </c>
      <c r="P79" s="220" t="s">
        <v>39</v>
      </c>
      <c r="Q79" s="220"/>
      <c r="R79" s="220" t="s">
        <v>38</v>
      </c>
      <c r="S79" s="220" t="str">
        <f>HLOOKUP(Language!$C$3,Language!$E$1:$Z531,38,FALSE)</f>
        <v>Four 1 Gbps LC-type SFP transceivers single mode fiber 1000BASE-ZX Ethernet for up to 40 km</v>
      </c>
      <c r="T79" s="220" t="s">
        <v>39</v>
      </c>
      <c r="U79" s="220"/>
      <c r="V79" s="220" t="s">
        <v>38</v>
      </c>
      <c r="W79" s="220" t="str">
        <f>HLOOKUP(Language!$C$3,Language!$E$1:$Z531,38,FALSE)</f>
        <v>Four 1 Gbps LC-type SFP transceivers single mode fiber 1000BASE-ZX Ethernet for up to 40 km</v>
      </c>
      <c r="X79" s="220" t="s">
        <v>39</v>
      </c>
      <c r="Y79" s="220"/>
      <c r="Z79" s="220" t="s">
        <v>38</v>
      </c>
      <c r="AA79" s="220" t="str">
        <f>HLOOKUP(Language!$C$3,Language!$E$1:$Z531,38,FALSE)</f>
        <v>Four 1 Gbps LC-type SFP transceivers single mode fiber 1000BASE-ZX Ethernet for up to 40 km</v>
      </c>
      <c r="AB79" s="220" t="s">
        <v>39</v>
      </c>
      <c r="AC79" s="220"/>
      <c r="AD79" s="220" t="s">
        <v>38</v>
      </c>
      <c r="AE79" s="220" t="str">
        <f>HLOOKUP(Language!$C$3,Language!$E$1:$Z531,38,FALSE)</f>
        <v>Four 1 Gbps LC-type SFP transceivers single mode fiber 1000BASE-ZX Ethernet for up to 40 km</v>
      </c>
      <c r="AF79" s="220" t="s">
        <v>39</v>
      </c>
      <c r="AG79" s="220"/>
      <c r="AH79" s="220" t="s">
        <v>38</v>
      </c>
    </row>
    <row r="80" spans="1:34">
      <c r="A80" s="160"/>
      <c r="B80" s="17"/>
      <c r="C80" s="220" t="str">
        <f>HLOOKUP(Language!$C$3,Language!$E$1:$Z532,39,FALSE)</f>
        <v>Four 1 Gbps LC-type SFP transceivers single mode fiber 1000BASE-ZX Ethernet for up to 80 km</v>
      </c>
      <c r="D80" s="161" t="s">
        <v>40</v>
      </c>
      <c r="E80" s="161"/>
      <c r="F80" s="161" t="s">
        <v>38</v>
      </c>
      <c r="G80" s="220" t="str">
        <f>HLOOKUP(Language!$C$3,Language!$E$1:$Z532,39,FALSE)</f>
        <v>Four 1 Gbps LC-type SFP transceivers single mode fiber 1000BASE-ZX Ethernet for up to 80 km</v>
      </c>
      <c r="H80" s="220" t="s">
        <v>40</v>
      </c>
      <c r="I80" s="220"/>
      <c r="J80" s="220" t="s">
        <v>38</v>
      </c>
      <c r="K80" s="220" t="str">
        <f>HLOOKUP(Language!$C$3,Language!$E$1:$Z532,39,FALSE)</f>
        <v>Four 1 Gbps LC-type SFP transceivers single mode fiber 1000BASE-ZX Ethernet for up to 80 km</v>
      </c>
      <c r="L80" s="220" t="s">
        <v>40</v>
      </c>
      <c r="M80" s="220"/>
      <c r="N80" s="220" t="s">
        <v>38</v>
      </c>
      <c r="O80" s="220" t="str">
        <f>HLOOKUP(Language!$C$3,Language!$E$1:$Z532,39,FALSE)</f>
        <v>Four 1 Gbps LC-type SFP transceivers single mode fiber 1000BASE-ZX Ethernet for up to 80 km</v>
      </c>
      <c r="P80" s="220" t="s">
        <v>40</v>
      </c>
      <c r="Q80" s="220"/>
      <c r="R80" s="220" t="s">
        <v>38</v>
      </c>
      <c r="S80" s="220" t="str">
        <f>HLOOKUP(Language!$C$3,Language!$E$1:$Z532,39,FALSE)</f>
        <v>Four 1 Gbps LC-type SFP transceivers single mode fiber 1000BASE-ZX Ethernet for up to 80 km</v>
      </c>
      <c r="T80" s="220" t="s">
        <v>40</v>
      </c>
      <c r="U80" s="220"/>
      <c r="V80" s="220" t="s">
        <v>38</v>
      </c>
      <c r="W80" s="220" t="str">
        <f>HLOOKUP(Language!$C$3,Language!$E$1:$Z532,39,FALSE)</f>
        <v>Four 1 Gbps LC-type SFP transceivers single mode fiber 1000BASE-ZX Ethernet for up to 80 km</v>
      </c>
      <c r="X80" s="220" t="s">
        <v>40</v>
      </c>
      <c r="Y80" s="220"/>
      <c r="Z80" s="220" t="s">
        <v>38</v>
      </c>
      <c r="AA80" s="220" t="str">
        <f>HLOOKUP(Language!$C$3,Language!$E$1:$Z532,39,FALSE)</f>
        <v>Four 1 Gbps LC-type SFP transceivers single mode fiber 1000BASE-ZX Ethernet for up to 80 km</v>
      </c>
      <c r="AB80" s="220" t="s">
        <v>40</v>
      </c>
      <c r="AC80" s="220"/>
      <c r="AD80" s="220" t="s">
        <v>38</v>
      </c>
      <c r="AE80" s="220" t="str">
        <f>HLOOKUP(Language!$C$3,Language!$E$1:$Z532,39,FALSE)</f>
        <v>Four 1 Gbps LC-type SFP transceivers single mode fiber 1000BASE-ZX Ethernet for up to 80 km</v>
      </c>
      <c r="AF80" s="220" t="s">
        <v>40</v>
      </c>
      <c r="AG80" s="220"/>
      <c r="AH80" s="220" t="s">
        <v>38</v>
      </c>
    </row>
    <row r="81" spans="1:34">
      <c r="A81" s="160"/>
      <c r="B81" s="17"/>
      <c r="C81" s="220" t="str">
        <f>HLOOKUP(Language!$C$3,Language!$E$1:$Z533,40,FALSE)</f>
        <v>Four 100 Mbps LC-type SFP transceivers multi mode fiber 100BASE-FX Ethernet for up to 2 km</v>
      </c>
      <c r="D81" s="161" t="s">
        <v>41</v>
      </c>
      <c r="E81" s="161"/>
      <c r="F81" s="161" t="s">
        <v>38</v>
      </c>
      <c r="G81" s="220" t="str">
        <f>HLOOKUP(Language!$C$3,Language!$E$1:$Z533,40,FALSE)</f>
        <v>Four 100 Mbps LC-type SFP transceivers multi mode fiber 100BASE-FX Ethernet for up to 2 km</v>
      </c>
      <c r="H81" s="220" t="s">
        <v>41</v>
      </c>
      <c r="I81" s="220"/>
      <c r="J81" s="220" t="s">
        <v>38</v>
      </c>
      <c r="K81" s="220" t="str">
        <f>HLOOKUP(Language!$C$3,Language!$E$1:$Z533,40,FALSE)</f>
        <v>Four 100 Mbps LC-type SFP transceivers multi mode fiber 100BASE-FX Ethernet for up to 2 km</v>
      </c>
      <c r="L81" s="220" t="s">
        <v>41</v>
      </c>
      <c r="M81" s="220"/>
      <c r="N81" s="220" t="s">
        <v>38</v>
      </c>
      <c r="O81" s="220" t="str">
        <f>HLOOKUP(Language!$C$3,Language!$E$1:$Z533,40,FALSE)</f>
        <v>Four 100 Mbps LC-type SFP transceivers multi mode fiber 100BASE-FX Ethernet for up to 2 km</v>
      </c>
      <c r="P81" s="220" t="s">
        <v>41</v>
      </c>
      <c r="Q81" s="220"/>
      <c r="R81" s="220" t="s">
        <v>38</v>
      </c>
      <c r="S81" s="220" t="str">
        <f>HLOOKUP(Language!$C$3,Language!$E$1:$Z533,40,FALSE)</f>
        <v>Four 100 Mbps LC-type SFP transceivers multi mode fiber 100BASE-FX Ethernet for up to 2 km</v>
      </c>
      <c r="T81" s="220" t="s">
        <v>41</v>
      </c>
      <c r="U81" s="220"/>
      <c r="V81" s="220" t="s">
        <v>38</v>
      </c>
      <c r="W81" s="220" t="str">
        <f>HLOOKUP(Language!$C$3,Language!$E$1:$Z533,40,FALSE)</f>
        <v>Four 100 Mbps LC-type SFP transceivers multi mode fiber 100BASE-FX Ethernet for up to 2 km</v>
      </c>
      <c r="X81" s="220" t="s">
        <v>41</v>
      </c>
      <c r="Y81" s="220"/>
      <c r="Z81" s="220" t="s">
        <v>38</v>
      </c>
      <c r="AA81" s="220" t="str">
        <f>HLOOKUP(Language!$C$3,Language!$E$1:$Z533,40,FALSE)</f>
        <v>Four 100 Mbps LC-type SFP transceivers multi mode fiber 100BASE-FX Ethernet for up to 2 km</v>
      </c>
      <c r="AB81" s="220" t="s">
        <v>41</v>
      </c>
      <c r="AC81" s="220"/>
      <c r="AD81" s="220" t="s">
        <v>38</v>
      </c>
      <c r="AE81" s="220" t="str">
        <f>HLOOKUP(Language!$C$3,Language!$E$1:$Z533,40,FALSE)</f>
        <v>Four 100 Mbps LC-type SFP transceivers multi mode fiber 100BASE-FX Ethernet for up to 2 km</v>
      </c>
      <c r="AF81" s="220" t="s">
        <v>41</v>
      </c>
      <c r="AG81" s="220"/>
      <c r="AH81" s="220" t="s">
        <v>38</v>
      </c>
    </row>
    <row r="82" spans="1:34">
      <c r="A82" s="160"/>
      <c r="B82" s="17"/>
      <c r="C82" s="220" t="str">
        <f>HLOOKUP(Language!$C$3,Language!$E$1:$Z534,41,FALSE)</f>
        <v>Four RJ45 copper 10/100BASE-TX</v>
      </c>
      <c r="D82" s="161" t="s">
        <v>83</v>
      </c>
      <c r="E82" s="161"/>
      <c r="F82" s="161" t="s">
        <v>38</v>
      </c>
      <c r="G82" s="220" t="str">
        <f>HLOOKUP(Language!$C$3,Language!$E$1:$Z534,41,FALSE)</f>
        <v>Four RJ45 copper 10/100BASE-TX</v>
      </c>
      <c r="H82" s="220" t="s">
        <v>83</v>
      </c>
      <c r="I82" s="220"/>
      <c r="J82" s="220" t="s">
        <v>38</v>
      </c>
      <c r="K82" s="220" t="str">
        <f>HLOOKUP(Language!$C$3,Language!$E$1:$Z534,41,FALSE)</f>
        <v>Four RJ45 copper 10/100BASE-TX</v>
      </c>
      <c r="L82" s="220" t="s">
        <v>83</v>
      </c>
      <c r="M82" s="220"/>
      <c r="N82" s="220" t="s">
        <v>38</v>
      </c>
      <c r="O82" s="220" t="str">
        <f>HLOOKUP(Language!$C$3,Language!$E$1:$Z534,41,FALSE)</f>
        <v>Four RJ45 copper 10/100BASE-TX</v>
      </c>
      <c r="P82" s="220" t="s">
        <v>83</v>
      </c>
      <c r="Q82" s="220"/>
      <c r="R82" s="220" t="s">
        <v>38</v>
      </c>
      <c r="S82" s="220" t="str">
        <f>HLOOKUP(Language!$C$3,Language!$E$1:$Z534,41,FALSE)</f>
        <v>Four RJ45 copper 10/100BASE-TX</v>
      </c>
      <c r="T82" s="220" t="s">
        <v>83</v>
      </c>
      <c r="U82" s="220"/>
      <c r="V82" s="220" t="s">
        <v>38</v>
      </c>
      <c r="W82" s="220" t="str">
        <f>HLOOKUP(Language!$C$3,Language!$E$1:$Z534,41,FALSE)</f>
        <v>Four RJ45 copper 10/100BASE-TX</v>
      </c>
      <c r="X82" s="220" t="s">
        <v>83</v>
      </c>
      <c r="Y82" s="220"/>
      <c r="Z82" s="220" t="s">
        <v>38</v>
      </c>
      <c r="AA82" s="220" t="str">
        <f>HLOOKUP(Language!$C$3,Language!$E$1:$Z534,41,FALSE)</f>
        <v>Four RJ45 copper 10/100BASE-TX</v>
      </c>
      <c r="AB82" s="220" t="s">
        <v>83</v>
      </c>
      <c r="AC82" s="220"/>
      <c r="AD82" s="220" t="s">
        <v>38</v>
      </c>
      <c r="AE82" s="220" t="str">
        <f>HLOOKUP(Language!$C$3,Language!$E$1:$Z534,41,FALSE)</f>
        <v>Four RJ45 copper 10/100BASE-TX</v>
      </c>
      <c r="AF82" s="220" t="s">
        <v>83</v>
      </c>
      <c r="AG82" s="220"/>
      <c r="AH82" s="220" t="s">
        <v>38</v>
      </c>
    </row>
    <row r="83" spans="1:34">
      <c r="A83" s="160"/>
      <c r="B83" s="17"/>
      <c r="C83" s="173" t="str">
        <f>HLOOKUP(Language!$C$3,Language!$E$1:$Z534,42,FALSE)</f>
        <v>Four 1 Gbps RJ45 SFP transceivers Ethernet 10/100BASE-TX/1000BASE-T (Not CE marked)</v>
      </c>
      <c r="D83" s="161" t="s">
        <v>79</v>
      </c>
      <c r="E83" s="161"/>
      <c r="F83" s="161" t="s">
        <v>38</v>
      </c>
      <c r="G83" s="173" t="str">
        <f>HLOOKUP(Language!$C$3,Language!$E$1:$Z534,79,FALSE)</f>
        <v>Four 1 Gbps RJ45 SFP transceivers Ethernet 10/100BASE-TX/1000BASE-T</v>
      </c>
      <c r="H83" s="220" t="s">
        <v>79</v>
      </c>
      <c r="I83" s="220"/>
      <c r="J83" s="220" t="s">
        <v>38</v>
      </c>
      <c r="K83" s="173" t="str">
        <f>HLOOKUP(Language!$C$3,Language!$E$1:$Z534,79,FALSE)</f>
        <v>Four 1 Gbps RJ45 SFP transceivers Ethernet 10/100BASE-TX/1000BASE-T</v>
      </c>
      <c r="L83" s="220" t="s">
        <v>79</v>
      </c>
      <c r="M83" s="220"/>
      <c r="N83" s="220" t="s">
        <v>38</v>
      </c>
      <c r="O83" s="173" t="str">
        <f>HLOOKUP(Language!$C$3,Language!$E$1:$Z534,79,FALSE)</f>
        <v>Four 1 Gbps RJ45 SFP transceivers Ethernet 10/100BASE-TX/1000BASE-T</v>
      </c>
      <c r="P83" s="220" t="s">
        <v>79</v>
      </c>
      <c r="Q83" s="220"/>
      <c r="R83" s="220" t="s">
        <v>38</v>
      </c>
      <c r="S83" s="173" t="str">
        <f>HLOOKUP(Language!$C$3,Language!$E$1:$Z534,79,FALSE)</f>
        <v>Four 1 Gbps RJ45 SFP transceivers Ethernet 10/100BASE-TX/1000BASE-T</v>
      </c>
      <c r="T83" s="220" t="s">
        <v>79</v>
      </c>
      <c r="U83" s="220"/>
      <c r="V83" s="220" t="s">
        <v>38</v>
      </c>
      <c r="W83" s="173" t="str">
        <f>HLOOKUP(Language!$C$3,Language!$E$1:$Z534,79,FALSE)</f>
        <v>Four 1 Gbps RJ45 SFP transceivers Ethernet 10/100BASE-TX/1000BASE-T</v>
      </c>
      <c r="X83" s="220" t="s">
        <v>79</v>
      </c>
      <c r="Y83" s="220"/>
      <c r="Z83" s="220" t="s">
        <v>38</v>
      </c>
      <c r="AA83" s="173" t="str">
        <f>HLOOKUP(Language!$C$3,Language!$E$1:$Z534,79,FALSE)</f>
        <v>Four 1 Gbps RJ45 SFP transceivers Ethernet 10/100BASE-TX/1000BASE-T</v>
      </c>
      <c r="AB83" s="220" t="s">
        <v>79</v>
      </c>
      <c r="AC83" s="220"/>
      <c r="AD83" s="220" t="s">
        <v>38</v>
      </c>
      <c r="AE83" s="173" t="str">
        <f>HLOOKUP(Language!$C$3,Language!$E$1:$Z534,79,FALSE)</f>
        <v>Four 1 Gbps RJ45 SFP transceivers Ethernet 10/100BASE-TX/1000BASE-T</v>
      </c>
      <c r="AF83" s="220" t="s">
        <v>79</v>
      </c>
      <c r="AG83" s="220"/>
      <c r="AH83" s="220" t="s">
        <v>38</v>
      </c>
    </row>
    <row r="84" spans="1:34">
      <c r="A84" s="160"/>
      <c r="B84" s="17"/>
      <c r="C84" s="173" t="str">
        <f>HLOOKUP(Language!$C$3,Language!$E$1:$Z513,19,FALSE)</f>
        <v>Not installed</v>
      </c>
      <c r="D84" s="161" t="s">
        <v>27</v>
      </c>
      <c r="E84" s="161"/>
      <c r="F84" s="161" t="s">
        <v>38</v>
      </c>
      <c r="G84" s="173" t="str">
        <f>HLOOKUP(Language!$C$3,Language!$E$1:$Z513,19,FALSE)</f>
        <v>Not installed</v>
      </c>
      <c r="H84" s="220" t="s">
        <v>27</v>
      </c>
      <c r="I84" s="220"/>
      <c r="J84" s="220" t="s">
        <v>38</v>
      </c>
      <c r="K84" s="173" t="str">
        <f>HLOOKUP(Language!$C$3,Language!$E$1:$Z513,19,FALSE)</f>
        <v>Not installed</v>
      </c>
      <c r="L84" s="220" t="s">
        <v>27</v>
      </c>
      <c r="M84" s="220"/>
      <c r="N84" s="220" t="s">
        <v>38</v>
      </c>
      <c r="O84" s="173" t="str">
        <f>HLOOKUP(Language!$C$3,Language!$E$1:$Z513,19,FALSE)</f>
        <v>Not installed</v>
      </c>
      <c r="P84" s="220" t="s">
        <v>27</v>
      </c>
      <c r="Q84" s="220"/>
      <c r="R84" s="220" t="s">
        <v>38</v>
      </c>
      <c r="S84" s="173" t="str">
        <f>HLOOKUP(Language!$C$3,Language!$E$1:$Z513,19,FALSE)</f>
        <v>Not installed</v>
      </c>
      <c r="T84" s="220" t="s">
        <v>27</v>
      </c>
      <c r="U84" s="220"/>
      <c r="V84" s="220" t="s">
        <v>38</v>
      </c>
      <c r="W84" s="173" t="str">
        <f>HLOOKUP(Language!$C$3,Language!$E$1:$Z513,19,FALSE)</f>
        <v>Not installed</v>
      </c>
      <c r="X84" s="220" t="s">
        <v>27</v>
      </c>
      <c r="Y84" s="220"/>
      <c r="Z84" s="220" t="s">
        <v>38</v>
      </c>
      <c r="AA84" s="173" t="str">
        <f>HLOOKUP(Language!$C$3,Language!$E$1:$Z513,19,FALSE)</f>
        <v>Not installed</v>
      </c>
      <c r="AB84" s="220" t="s">
        <v>27</v>
      </c>
      <c r="AC84" s="220"/>
      <c r="AD84" s="220" t="s">
        <v>38</v>
      </c>
      <c r="AE84" s="173" t="str">
        <f>HLOOKUP(Language!$C$3,Language!$E$1:$Z513,19,FALSE)</f>
        <v>Not installed</v>
      </c>
      <c r="AF84" s="220" t="s">
        <v>27</v>
      </c>
      <c r="AG84" s="220"/>
      <c r="AH84" s="220" t="s">
        <v>38</v>
      </c>
    </row>
    <row r="85" spans="1:34">
      <c r="A85" s="162"/>
      <c r="B85" s="22"/>
      <c r="C85" s="163"/>
      <c r="D85" s="163"/>
      <c r="E85" s="163"/>
      <c r="F85" s="163"/>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row>
    <row r="86" spans="1:34">
      <c r="A86" s="158">
        <v>12</v>
      </c>
      <c r="B86" s="16" t="str">
        <f>HLOOKUP(Language!$C$3,Language!$E$1:$Z506,33,FALSE)</f>
        <v>Interface Module 6</v>
      </c>
      <c r="C86" s="219" t="str">
        <f>HLOOKUP(Language!$C$3,Language!$E$1:$Z538,34,FALSE)</f>
        <v>Four 1 Gbps RJ45 copper 10/100BASE-TX/1000BASE-T Ethernet ports</v>
      </c>
      <c r="D86" s="159" t="s">
        <v>25</v>
      </c>
      <c r="E86" s="159"/>
      <c r="F86" s="159" t="s">
        <v>38</v>
      </c>
      <c r="G86" s="219" t="str">
        <f>HLOOKUP(Language!$C$3,Language!$E$1:$Z538,34,FALSE)</f>
        <v>Four 1 Gbps RJ45 copper 10/100BASE-TX/1000BASE-T Ethernet ports</v>
      </c>
      <c r="H86" s="219" t="s">
        <v>25</v>
      </c>
      <c r="I86" s="219"/>
      <c r="J86" s="219" t="s">
        <v>38</v>
      </c>
      <c r="K86" s="219" t="str">
        <f>HLOOKUP(Language!$C$3,Language!$E$1:$Z538,34,FALSE)</f>
        <v>Four 1 Gbps RJ45 copper 10/100BASE-TX/1000BASE-T Ethernet ports</v>
      </c>
      <c r="L86" s="219" t="s">
        <v>25</v>
      </c>
      <c r="M86" s="219"/>
      <c r="N86" s="219" t="s">
        <v>38</v>
      </c>
      <c r="O86" s="219" t="str">
        <f>HLOOKUP(Language!$C$3,Language!$E$1:$Z538,34,FALSE)</f>
        <v>Four 1 Gbps RJ45 copper 10/100BASE-TX/1000BASE-T Ethernet ports</v>
      </c>
      <c r="P86" s="219" t="s">
        <v>25</v>
      </c>
      <c r="Q86" s="219"/>
      <c r="R86" s="219" t="s">
        <v>38</v>
      </c>
      <c r="S86" s="219" t="str">
        <f>HLOOKUP(Language!$C$3,Language!$E$1:$Z538,34,FALSE)</f>
        <v>Four 1 Gbps RJ45 copper 10/100BASE-TX/1000BASE-T Ethernet ports</v>
      </c>
      <c r="T86" s="219" t="s">
        <v>25</v>
      </c>
      <c r="U86" s="219"/>
      <c r="V86" s="219" t="s">
        <v>38</v>
      </c>
      <c r="W86" s="219" t="str">
        <f>HLOOKUP(Language!$C$3,Language!$E$1:$Z538,34,FALSE)</f>
        <v>Four 1 Gbps RJ45 copper 10/100BASE-TX/1000BASE-T Ethernet ports</v>
      </c>
      <c r="X86" s="219" t="s">
        <v>25</v>
      </c>
      <c r="Y86" s="219"/>
      <c r="Z86" s="219" t="s">
        <v>38</v>
      </c>
      <c r="AA86" s="219" t="str">
        <f>HLOOKUP(Language!$C$3,Language!$E$1:$Z538,34,FALSE)</f>
        <v>Four 1 Gbps RJ45 copper 10/100BASE-TX/1000BASE-T Ethernet ports</v>
      </c>
      <c r="AB86" s="219" t="s">
        <v>25</v>
      </c>
      <c r="AC86" s="219"/>
      <c r="AD86" s="219" t="s">
        <v>38</v>
      </c>
      <c r="AE86" s="219" t="str">
        <f>HLOOKUP(Language!$C$3,Language!$E$1:$Z538,34,FALSE)</f>
        <v>Four 1 Gbps RJ45 copper 10/100BASE-TX/1000BASE-T Ethernet ports</v>
      </c>
      <c r="AF86" s="219" t="s">
        <v>25</v>
      </c>
      <c r="AG86" s="219"/>
      <c r="AH86" s="219" t="s">
        <v>38</v>
      </c>
    </row>
    <row r="87" spans="1:34">
      <c r="A87" s="160"/>
      <c r="B87" s="17"/>
      <c r="C87" s="220" t="str">
        <f>HLOOKUP(Language!$C$3,Language!$E$1:$Z539,35,FALSE)</f>
        <v>Four slots for SFP transceivers</v>
      </c>
      <c r="D87" s="161" t="s">
        <v>26</v>
      </c>
      <c r="E87" s="110"/>
      <c r="F87" s="161" t="s">
        <v>38</v>
      </c>
      <c r="G87" s="220" t="str">
        <f>HLOOKUP(Language!$C$3,Language!$E$1:$Z539,35,FALSE)</f>
        <v>Four slots for SFP transceivers</v>
      </c>
      <c r="H87" s="220" t="s">
        <v>26</v>
      </c>
      <c r="I87" s="110"/>
      <c r="J87" s="220" t="s">
        <v>38</v>
      </c>
      <c r="K87" s="220" t="str">
        <f>HLOOKUP(Language!$C$3,Language!$E$1:$Z539,35,FALSE)</f>
        <v>Four slots for SFP transceivers</v>
      </c>
      <c r="L87" s="220" t="s">
        <v>26</v>
      </c>
      <c r="M87" s="110"/>
      <c r="N87" s="220" t="s">
        <v>38</v>
      </c>
      <c r="O87" s="220" t="str">
        <f>HLOOKUP(Language!$C$3,Language!$E$1:$Z539,35,FALSE)</f>
        <v>Four slots for SFP transceivers</v>
      </c>
      <c r="P87" s="220" t="s">
        <v>26</v>
      </c>
      <c r="Q87" s="110"/>
      <c r="R87" s="220" t="s">
        <v>38</v>
      </c>
      <c r="S87" s="220" t="str">
        <f>HLOOKUP(Language!$C$3,Language!$E$1:$Z539,35,FALSE)</f>
        <v>Four slots for SFP transceivers</v>
      </c>
      <c r="T87" s="220" t="s">
        <v>26</v>
      </c>
      <c r="U87" s="110"/>
      <c r="V87" s="220" t="s">
        <v>38</v>
      </c>
      <c r="W87" s="220" t="str">
        <f>HLOOKUP(Language!$C$3,Language!$E$1:$Z539,35,FALSE)</f>
        <v>Four slots for SFP transceivers</v>
      </c>
      <c r="X87" s="220" t="s">
        <v>26</v>
      </c>
      <c r="Y87" s="110"/>
      <c r="Z87" s="220" t="s">
        <v>38</v>
      </c>
      <c r="AA87" s="220" t="str">
        <f>HLOOKUP(Language!$C$3,Language!$E$1:$Z539,35,FALSE)</f>
        <v>Four slots for SFP transceivers</v>
      </c>
      <c r="AB87" s="220" t="s">
        <v>26</v>
      </c>
      <c r="AC87" s="110"/>
      <c r="AD87" s="220" t="s">
        <v>38</v>
      </c>
      <c r="AE87" s="220" t="str">
        <f>HLOOKUP(Language!$C$3,Language!$E$1:$Z539,35,FALSE)</f>
        <v>Four slots for SFP transceivers</v>
      </c>
      <c r="AF87" s="220" t="s">
        <v>26</v>
      </c>
      <c r="AG87" s="110"/>
      <c r="AH87" s="220" t="s">
        <v>38</v>
      </c>
    </row>
    <row r="88" spans="1:34">
      <c r="A88" s="160"/>
      <c r="B88" s="17"/>
      <c r="C88" s="220" t="str">
        <f>HLOOKUP(Language!$C$3,Language!$E$1:$Z540,36,FALSE)</f>
        <v>Four 1 Gbps LC-type SFP transceivers multi mode fiber 1000BASE-SX Ethernet for up to 0.5 km</v>
      </c>
      <c r="D88" s="161" t="s">
        <v>28</v>
      </c>
      <c r="E88" s="161"/>
      <c r="F88" s="161" t="s">
        <v>38</v>
      </c>
      <c r="G88" s="220" t="str">
        <f>HLOOKUP(Language!$C$3,Language!$E$1:$Z540,36,FALSE)</f>
        <v>Four 1 Gbps LC-type SFP transceivers multi mode fiber 1000BASE-SX Ethernet for up to 0.5 km</v>
      </c>
      <c r="H88" s="220" t="s">
        <v>28</v>
      </c>
      <c r="I88" s="220"/>
      <c r="J88" s="220" t="s">
        <v>38</v>
      </c>
      <c r="K88" s="220" t="str">
        <f>HLOOKUP(Language!$C$3,Language!$E$1:$Z540,36,FALSE)</f>
        <v>Four 1 Gbps LC-type SFP transceivers multi mode fiber 1000BASE-SX Ethernet for up to 0.5 km</v>
      </c>
      <c r="L88" s="220" t="s">
        <v>28</v>
      </c>
      <c r="M88" s="220"/>
      <c r="N88" s="220" t="s">
        <v>38</v>
      </c>
      <c r="O88" s="220" t="str">
        <f>HLOOKUP(Language!$C$3,Language!$E$1:$Z540,36,FALSE)</f>
        <v>Four 1 Gbps LC-type SFP transceivers multi mode fiber 1000BASE-SX Ethernet for up to 0.5 km</v>
      </c>
      <c r="P88" s="220" t="s">
        <v>28</v>
      </c>
      <c r="Q88" s="220"/>
      <c r="R88" s="220" t="s">
        <v>38</v>
      </c>
      <c r="S88" s="220" t="str">
        <f>HLOOKUP(Language!$C$3,Language!$E$1:$Z540,36,FALSE)</f>
        <v>Four 1 Gbps LC-type SFP transceivers multi mode fiber 1000BASE-SX Ethernet for up to 0.5 km</v>
      </c>
      <c r="T88" s="220" t="s">
        <v>28</v>
      </c>
      <c r="U88" s="220"/>
      <c r="V88" s="220" t="s">
        <v>38</v>
      </c>
      <c r="W88" s="220" t="str">
        <f>HLOOKUP(Language!$C$3,Language!$E$1:$Z540,36,FALSE)</f>
        <v>Four 1 Gbps LC-type SFP transceivers multi mode fiber 1000BASE-SX Ethernet for up to 0.5 km</v>
      </c>
      <c r="X88" s="220" t="s">
        <v>28</v>
      </c>
      <c r="Y88" s="220"/>
      <c r="Z88" s="220" t="s">
        <v>38</v>
      </c>
      <c r="AA88" s="220" t="str">
        <f>HLOOKUP(Language!$C$3,Language!$E$1:$Z540,36,FALSE)</f>
        <v>Four 1 Gbps LC-type SFP transceivers multi mode fiber 1000BASE-SX Ethernet for up to 0.5 km</v>
      </c>
      <c r="AB88" s="220" t="s">
        <v>28</v>
      </c>
      <c r="AC88" s="220"/>
      <c r="AD88" s="220" t="s">
        <v>38</v>
      </c>
      <c r="AE88" s="220" t="str">
        <f>HLOOKUP(Language!$C$3,Language!$E$1:$Z540,36,FALSE)</f>
        <v>Four 1 Gbps LC-type SFP transceivers multi mode fiber 1000BASE-SX Ethernet for up to 0.5 km</v>
      </c>
      <c r="AF88" s="220" t="s">
        <v>28</v>
      </c>
      <c r="AG88" s="220"/>
      <c r="AH88" s="220" t="s">
        <v>38</v>
      </c>
    </row>
    <row r="89" spans="1:34">
      <c r="A89" s="160"/>
      <c r="B89" s="17"/>
      <c r="C89" s="220" t="str">
        <f>HLOOKUP(Language!$C$3,Language!$E$1:$Z541,37,FALSE)</f>
        <v>Four 1 Gbps LC-type SFP transceivers single mode fiber 1000BASE-LX Ethernet for up to 20 km</v>
      </c>
      <c r="D89" s="161" t="s">
        <v>29</v>
      </c>
      <c r="E89" s="161"/>
      <c r="F89" s="161" t="s">
        <v>38</v>
      </c>
      <c r="G89" s="220" t="str">
        <f>HLOOKUP(Language!$C$3,Language!$E$1:$Z541,37,FALSE)</f>
        <v>Four 1 Gbps LC-type SFP transceivers single mode fiber 1000BASE-LX Ethernet for up to 20 km</v>
      </c>
      <c r="H89" s="220" t="s">
        <v>29</v>
      </c>
      <c r="I89" s="220"/>
      <c r="J89" s="220" t="s">
        <v>38</v>
      </c>
      <c r="K89" s="220" t="str">
        <f>HLOOKUP(Language!$C$3,Language!$E$1:$Z541,37,FALSE)</f>
        <v>Four 1 Gbps LC-type SFP transceivers single mode fiber 1000BASE-LX Ethernet for up to 20 km</v>
      </c>
      <c r="L89" s="220" t="s">
        <v>29</v>
      </c>
      <c r="M89" s="220"/>
      <c r="N89" s="220" t="s">
        <v>38</v>
      </c>
      <c r="O89" s="220" t="str">
        <f>HLOOKUP(Language!$C$3,Language!$E$1:$Z541,37,FALSE)</f>
        <v>Four 1 Gbps LC-type SFP transceivers single mode fiber 1000BASE-LX Ethernet for up to 20 km</v>
      </c>
      <c r="P89" s="220" t="s">
        <v>29</v>
      </c>
      <c r="Q89" s="220"/>
      <c r="R89" s="220" t="s">
        <v>38</v>
      </c>
      <c r="S89" s="220" t="str">
        <f>HLOOKUP(Language!$C$3,Language!$E$1:$Z541,37,FALSE)</f>
        <v>Four 1 Gbps LC-type SFP transceivers single mode fiber 1000BASE-LX Ethernet for up to 20 km</v>
      </c>
      <c r="T89" s="220" t="s">
        <v>29</v>
      </c>
      <c r="U89" s="220"/>
      <c r="V89" s="220" t="s">
        <v>38</v>
      </c>
      <c r="W89" s="220" t="str">
        <f>HLOOKUP(Language!$C$3,Language!$E$1:$Z541,37,FALSE)</f>
        <v>Four 1 Gbps LC-type SFP transceivers single mode fiber 1000BASE-LX Ethernet for up to 20 km</v>
      </c>
      <c r="X89" s="220" t="s">
        <v>29</v>
      </c>
      <c r="Y89" s="220"/>
      <c r="Z89" s="220" t="s">
        <v>38</v>
      </c>
      <c r="AA89" s="220" t="str">
        <f>HLOOKUP(Language!$C$3,Language!$E$1:$Z541,37,FALSE)</f>
        <v>Four 1 Gbps LC-type SFP transceivers single mode fiber 1000BASE-LX Ethernet for up to 20 km</v>
      </c>
      <c r="AB89" s="220" t="s">
        <v>29</v>
      </c>
      <c r="AC89" s="220"/>
      <c r="AD89" s="220" t="s">
        <v>38</v>
      </c>
      <c r="AE89" s="220" t="str">
        <f>HLOOKUP(Language!$C$3,Language!$E$1:$Z541,37,FALSE)</f>
        <v>Four 1 Gbps LC-type SFP transceivers single mode fiber 1000BASE-LX Ethernet for up to 20 km</v>
      </c>
      <c r="AF89" s="220" t="s">
        <v>29</v>
      </c>
      <c r="AG89" s="220"/>
      <c r="AH89" s="220" t="s">
        <v>38</v>
      </c>
    </row>
    <row r="90" spans="1:34">
      <c r="A90" s="160"/>
      <c r="B90" s="17"/>
      <c r="C90" s="220" t="str">
        <f>HLOOKUP(Language!$C$3,Language!$E$1:$Z542,38,FALSE)</f>
        <v>Four 1 Gbps LC-type SFP transceivers single mode fiber 1000BASE-ZX Ethernet for up to 40 km</v>
      </c>
      <c r="D90" s="161" t="s">
        <v>39</v>
      </c>
      <c r="E90" s="161"/>
      <c r="F90" s="161" t="s">
        <v>38</v>
      </c>
      <c r="G90" s="220" t="str">
        <f>HLOOKUP(Language!$C$3,Language!$E$1:$Z542,38,FALSE)</f>
        <v>Four 1 Gbps LC-type SFP transceivers single mode fiber 1000BASE-ZX Ethernet for up to 40 km</v>
      </c>
      <c r="H90" s="220" t="s">
        <v>39</v>
      </c>
      <c r="I90" s="220"/>
      <c r="J90" s="220" t="s">
        <v>38</v>
      </c>
      <c r="K90" s="220" t="str">
        <f>HLOOKUP(Language!$C$3,Language!$E$1:$Z542,38,FALSE)</f>
        <v>Four 1 Gbps LC-type SFP transceivers single mode fiber 1000BASE-ZX Ethernet for up to 40 km</v>
      </c>
      <c r="L90" s="220" t="s">
        <v>39</v>
      </c>
      <c r="M90" s="220"/>
      <c r="N90" s="220" t="s">
        <v>38</v>
      </c>
      <c r="O90" s="220" t="str">
        <f>HLOOKUP(Language!$C$3,Language!$E$1:$Z542,38,FALSE)</f>
        <v>Four 1 Gbps LC-type SFP transceivers single mode fiber 1000BASE-ZX Ethernet for up to 40 km</v>
      </c>
      <c r="P90" s="220" t="s">
        <v>39</v>
      </c>
      <c r="Q90" s="220"/>
      <c r="R90" s="220" t="s">
        <v>38</v>
      </c>
      <c r="S90" s="220" t="str">
        <f>HLOOKUP(Language!$C$3,Language!$E$1:$Z542,38,FALSE)</f>
        <v>Four 1 Gbps LC-type SFP transceivers single mode fiber 1000BASE-ZX Ethernet for up to 40 km</v>
      </c>
      <c r="T90" s="220" t="s">
        <v>39</v>
      </c>
      <c r="U90" s="220"/>
      <c r="V90" s="220" t="s">
        <v>38</v>
      </c>
      <c r="W90" s="220" t="str">
        <f>HLOOKUP(Language!$C$3,Language!$E$1:$Z542,38,FALSE)</f>
        <v>Four 1 Gbps LC-type SFP transceivers single mode fiber 1000BASE-ZX Ethernet for up to 40 km</v>
      </c>
      <c r="X90" s="220" t="s">
        <v>39</v>
      </c>
      <c r="Y90" s="220"/>
      <c r="Z90" s="220" t="s">
        <v>38</v>
      </c>
      <c r="AA90" s="220" t="str">
        <f>HLOOKUP(Language!$C$3,Language!$E$1:$Z542,38,FALSE)</f>
        <v>Four 1 Gbps LC-type SFP transceivers single mode fiber 1000BASE-ZX Ethernet for up to 40 km</v>
      </c>
      <c r="AB90" s="220" t="s">
        <v>39</v>
      </c>
      <c r="AC90" s="220"/>
      <c r="AD90" s="220" t="s">
        <v>38</v>
      </c>
      <c r="AE90" s="220" t="str">
        <f>HLOOKUP(Language!$C$3,Language!$E$1:$Z542,38,FALSE)</f>
        <v>Four 1 Gbps LC-type SFP transceivers single mode fiber 1000BASE-ZX Ethernet for up to 40 km</v>
      </c>
      <c r="AF90" s="220" t="s">
        <v>39</v>
      </c>
      <c r="AG90" s="220"/>
      <c r="AH90" s="220" t="s">
        <v>38</v>
      </c>
    </row>
    <row r="91" spans="1:34">
      <c r="A91" s="160"/>
      <c r="B91" s="17"/>
      <c r="C91" s="220" t="str">
        <f>HLOOKUP(Language!$C$3,Language!$E$1:$Z543,39,FALSE)</f>
        <v>Four 1 Gbps LC-type SFP transceivers single mode fiber 1000BASE-ZX Ethernet for up to 80 km</v>
      </c>
      <c r="D91" s="161" t="s">
        <v>40</v>
      </c>
      <c r="E91" s="161"/>
      <c r="F91" s="161" t="s">
        <v>38</v>
      </c>
      <c r="G91" s="220" t="str">
        <f>HLOOKUP(Language!$C$3,Language!$E$1:$Z543,39,FALSE)</f>
        <v>Four 1 Gbps LC-type SFP transceivers single mode fiber 1000BASE-ZX Ethernet for up to 80 km</v>
      </c>
      <c r="H91" s="220" t="s">
        <v>40</v>
      </c>
      <c r="I91" s="220"/>
      <c r="J91" s="220" t="s">
        <v>38</v>
      </c>
      <c r="K91" s="220" t="str">
        <f>HLOOKUP(Language!$C$3,Language!$E$1:$Z543,39,FALSE)</f>
        <v>Four 1 Gbps LC-type SFP transceivers single mode fiber 1000BASE-ZX Ethernet for up to 80 km</v>
      </c>
      <c r="L91" s="220" t="s">
        <v>40</v>
      </c>
      <c r="M91" s="220"/>
      <c r="N91" s="220" t="s">
        <v>38</v>
      </c>
      <c r="O91" s="220" t="str">
        <f>HLOOKUP(Language!$C$3,Language!$E$1:$Z543,39,FALSE)</f>
        <v>Four 1 Gbps LC-type SFP transceivers single mode fiber 1000BASE-ZX Ethernet for up to 80 km</v>
      </c>
      <c r="P91" s="220" t="s">
        <v>40</v>
      </c>
      <c r="Q91" s="220"/>
      <c r="R91" s="220" t="s">
        <v>38</v>
      </c>
      <c r="S91" s="220" t="str">
        <f>HLOOKUP(Language!$C$3,Language!$E$1:$Z543,39,FALSE)</f>
        <v>Four 1 Gbps LC-type SFP transceivers single mode fiber 1000BASE-ZX Ethernet for up to 80 km</v>
      </c>
      <c r="T91" s="220" t="s">
        <v>40</v>
      </c>
      <c r="U91" s="220"/>
      <c r="V91" s="220" t="s">
        <v>38</v>
      </c>
      <c r="W91" s="220" t="str">
        <f>HLOOKUP(Language!$C$3,Language!$E$1:$Z543,39,FALSE)</f>
        <v>Four 1 Gbps LC-type SFP transceivers single mode fiber 1000BASE-ZX Ethernet for up to 80 km</v>
      </c>
      <c r="X91" s="220" t="s">
        <v>40</v>
      </c>
      <c r="Y91" s="220"/>
      <c r="Z91" s="220" t="s">
        <v>38</v>
      </c>
      <c r="AA91" s="220" t="str">
        <f>HLOOKUP(Language!$C$3,Language!$E$1:$Z543,39,FALSE)</f>
        <v>Four 1 Gbps LC-type SFP transceivers single mode fiber 1000BASE-ZX Ethernet for up to 80 km</v>
      </c>
      <c r="AB91" s="220" t="s">
        <v>40</v>
      </c>
      <c r="AC91" s="220"/>
      <c r="AD91" s="220" t="s">
        <v>38</v>
      </c>
      <c r="AE91" s="220" t="str">
        <f>HLOOKUP(Language!$C$3,Language!$E$1:$Z543,39,FALSE)</f>
        <v>Four 1 Gbps LC-type SFP transceivers single mode fiber 1000BASE-ZX Ethernet for up to 80 km</v>
      </c>
      <c r="AF91" s="220" t="s">
        <v>40</v>
      </c>
      <c r="AG91" s="220"/>
      <c r="AH91" s="220" t="s">
        <v>38</v>
      </c>
    </row>
    <row r="92" spans="1:34">
      <c r="A92" s="160"/>
      <c r="B92" s="17"/>
      <c r="C92" s="220" t="str">
        <f>HLOOKUP(Language!$C$3,Language!$E$1:$Z544,40,FALSE)</f>
        <v>Four 100 Mbps LC-type SFP transceivers multi mode fiber 100BASE-FX Ethernet for up to 2 km</v>
      </c>
      <c r="D92" s="161" t="s">
        <v>41</v>
      </c>
      <c r="E92" s="161"/>
      <c r="F92" s="161" t="s">
        <v>38</v>
      </c>
      <c r="G92" s="220" t="str">
        <f>HLOOKUP(Language!$C$3,Language!$E$1:$Z544,40,FALSE)</f>
        <v>Four 100 Mbps LC-type SFP transceivers multi mode fiber 100BASE-FX Ethernet for up to 2 km</v>
      </c>
      <c r="H92" s="220" t="s">
        <v>41</v>
      </c>
      <c r="I92" s="220"/>
      <c r="J92" s="220" t="s">
        <v>38</v>
      </c>
      <c r="K92" s="220" t="str">
        <f>HLOOKUP(Language!$C$3,Language!$E$1:$Z544,40,FALSE)</f>
        <v>Four 100 Mbps LC-type SFP transceivers multi mode fiber 100BASE-FX Ethernet for up to 2 km</v>
      </c>
      <c r="L92" s="220" t="s">
        <v>41</v>
      </c>
      <c r="M92" s="220"/>
      <c r="N92" s="220" t="s">
        <v>38</v>
      </c>
      <c r="O92" s="220" t="str">
        <f>HLOOKUP(Language!$C$3,Language!$E$1:$Z544,40,FALSE)</f>
        <v>Four 100 Mbps LC-type SFP transceivers multi mode fiber 100BASE-FX Ethernet for up to 2 km</v>
      </c>
      <c r="P92" s="220" t="s">
        <v>41</v>
      </c>
      <c r="Q92" s="220"/>
      <c r="R92" s="220" t="s">
        <v>38</v>
      </c>
      <c r="S92" s="220" t="str">
        <f>HLOOKUP(Language!$C$3,Language!$E$1:$Z544,40,FALSE)</f>
        <v>Four 100 Mbps LC-type SFP transceivers multi mode fiber 100BASE-FX Ethernet for up to 2 km</v>
      </c>
      <c r="T92" s="220" t="s">
        <v>41</v>
      </c>
      <c r="U92" s="220"/>
      <c r="V92" s="220" t="s">
        <v>38</v>
      </c>
      <c r="W92" s="220" t="str">
        <f>HLOOKUP(Language!$C$3,Language!$E$1:$Z544,40,FALSE)</f>
        <v>Four 100 Mbps LC-type SFP transceivers multi mode fiber 100BASE-FX Ethernet for up to 2 km</v>
      </c>
      <c r="X92" s="220" t="s">
        <v>41</v>
      </c>
      <c r="Y92" s="220"/>
      <c r="Z92" s="220" t="s">
        <v>38</v>
      </c>
      <c r="AA92" s="220" t="str">
        <f>HLOOKUP(Language!$C$3,Language!$E$1:$Z544,40,FALSE)</f>
        <v>Four 100 Mbps LC-type SFP transceivers multi mode fiber 100BASE-FX Ethernet for up to 2 km</v>
      </c>
      <c r="AB92" s="220" t="s">
        <v>41</v>
      </c>
      <c r="AC92" s="220"/>
      <c r="AD92" s="220" t="s">
        <v>38</v>
      </c>
      <c r="AE92" s="220" t="str">
        <f>HLOOKUP(Language!$C$3,Language!$E$1:$Z544,40,FALSE)</f>
        <v>Four 100 Mbps LC-type SFP transceivers multi mode fiber 100BASE-FX Ethernet for up to 2 km</v>
      </c>
      <c r="AF92" s="220" t="s">
        <v>41</v>
      </c>
      <c r="AG92" s="220"/>
      <c r="AH92" s="220" t="s">
        <v>38</v>
      </c>
    </row>
    <row r="93" spans="1:34">
      <c r="A93" s="160"/>
      <c r="B93" s="17"/>
      <c r="C93" s="220" t="str">
        <f>HLOOKUP(Language!$C$3,Language!$E$1:$Z545,41,FALSE)</f>
        <v>Four RJ45 copper 10/100BASE-TX</v>
      </c>
      <c r="D93" s="161" t="s">
        <v>83</v>
      </c>
      <c r="E93" s="161"/>
      <c r="F93" s="161" t="s">
        <v>38</v>
      </c>
      <c r="G93" s="220" t="str">
        <f>HLOOKUP(Language!$C$3,Language!$E$1:$Z545,41,FALSE)</f>
        <v>Four RJ45 copper 10/100BASE-TX</v>
      </c>
      <c r="H93" s="220" t="s">
        <v>83</v>
      </c>
      <c r="I93" s="220"/>
      <c r="J93" s="220" t="s">
        <v>38</v>
      </c>
      <c r="K93" s="220" t="str">
        <f>HLOOKUP(Language!$C$3,Language!$E$1:$Z545,41,FALSE)</f>
        <v>Four RJ45 copper 10/100BASE-TX</v>
      </c>
      <c r="L93" s="220" t="s">
        <v>83</v>
      </c>
      <c r="M93" s="220"/>
      <c r="N93" s="220" t="s">
        <v>38</v>
      </c>
      <c r="O93" s="220" t="str">
        <f>HLOOKUP(Language!$C$3,Language!$E$1:$Z545,41,FALSE)</f>
        <v>Four RJ45 copper 10/100BASE-TX</v>
      </c>
      <c r="P93" s="220" t="s">
        <v>83</v>
      </c>
      <c r="Q93" s="220"/>
      <c r="R93" s="220" t="s">
        <v>38</v>
      </c>
      <c r="S93" s="220" t="str">
        <f>HLOOKUP(Language!$C$3,Language!$E$1:$Z545,41,FALSE)</f>
        <v>Four RJ45 copper 10/100BASE-TX</v>
      </c>
      <c r="T93" s="220" t="s">
        <v>83</v>
      </c>
      <c r="U93" s="220"/>
      <c r="V93" s="220" t="s">
        <v>38</v>
      </c>
      <c r="W93" s="220" t="str">
        <f>HLOOKUP(Language!$C$3,Language!$E$1:$Z545,41,FALSE)</f>
        <v>Four RJ45 copper 10/100BASE-TX</v>
      </c>
      <c r="X93" s="220" t="s">
        <v>83</v>
      </c>
      <c r="Y93" s="220"/>
      <c r="Z93" s="220" t="s">
        <v>38</v>
      </c>
      <c r="AA93" s="220" t="str">
        <f>HLOOKUP(Language!$C$3,Language!$E$1:$Z545,41,FALSE)</f>
        <v>Four RJ45 copper 10/100BASE-TX</v>
      </c>
      <c r="AB93" s="220" t="s">
        <v>83</v>
      </c>
      <c r="AC93" s="220"/>
      <c r="AD93" s="220" t="s">
        <v>38</v>
      </c>
      <c r="AE93" s="220" t="str">
        <f>HLOOKUP(Language!$C$3,Language!$E$1:$Z545,41,FALSE)</f>
        <v>Four RJ45 copper 10/100BASE-TX</v>
      </c>
      <c r="AF93" s="220" t="s">
        <v>83</v>
      </c>
      <c r="AG93" s="220"/>
      <c r="AH93" s="220" t="s">
        <v>38</v>
      </c>
    </row>
    <row r="94" spans="1:34">
      <c r="A94" s="160"/>
      <c r="B94" s="17"/>
      <c r="C94" s="173" t="str">
        <f>HLOOKUP(Language!$C$3,Language!$E$1:$Z545,42,FALSE)</f>
        <v>Four 1 Gbps RJ45 SFP transceivers Ethernet 10/100BASE-TX/1000BASE-T (Not CE marked)</v>
      </c>
      <c r="D94" s="161" t="s">
        <v>79</v>
      </c>
      <c r="E94" s="161"/>
      <c r="F94" s="161" t="s">
        <v>38</v>
      </c>
      <c r="G94" s="173" t="str">
        <f>HLOOKUP(Language!$C$3,Language!$E$1:$Z545,79,FALSE)</f>
        <v>Four 1 Gbps RJ45 SFP transceivers Ethernet 10/100BASE-TX/1000BASE-T</v>
      </c>
      <c r="H94" s="220" t="s">
        <v>79</v>
      </c>
      <c r="I94" s="220"/>
      <c r="J94" s="220" t="s">
        <v>38</v>
      </c>
      <c r="K94" s="173" t="str">
        <f>HLOOKUP(Language!$C$3,Language!$E$1:$Z545,79,FALSE)</f>
        <v>Four 1 Gbps RJ45 SFP transceivers Ethernet 10/100BASE-TX/1000BASE-T</v>
      </c>
      <c r="L94" s="220" t="s">
        <v>79</v>
      </c>
      <c r="M94" s="220"/>
      <c r="N94" s="220" t="s">
        <v>38</v>
      </c>
      <c r="O94" s="173" t="str">
        <f>HLOOKUP(Language!$C$3,Language!$E$1:$Z545,79,FALSE)</f>
        <v>Four 1 Gbps RJ45 SFP transceivers Ethernet 10/100BASE-TX/1000BASE-T</v>
      </c>
      <c r="P94" s="220" t="s">
        <v>79</v>
      </c>
      <c r="Q94" s="220"/>
      <c r="R94" s="220" t="s">
        <v>38</v>
      </c>
      <c r="S94" s="173" t="str">
        <f>HLOOKUP(Language!$C$3,Language!$E$1:$Z545,79,FALSE)</f>
        <v>Four 1 Gbps RJ45 SFP transceivers Ethernet 10/100BASE-TX/1000BASE-T</v>
      </c>
      <c r="T94" s="220" t="s">
        <v>79</v>
      </c>
      <c r="U94" s="220"/>
      <c r="V94" s="220" t="s">
        <v>38</v>
      </c>
      <c r="W94" s="173" t="str">
        <f>HLOOKUP(Language!$C$3,Language!$E$1:$Z545,79,FALSE)</f>
        <v>Four 1 Gbps RJ45 SFP transceivers Ethernet 10/100BASE-TX/1000BASE-T</v>
      </c>
      <c r="X94" s="220" t="s">
        <v>79</v>
      </c>
      <c r="Y94" s="220"/>
      <c r="Z94" s="220" t="s">
        <v>38</v>
      </c>
      <c r="AA94" s="173" t="str">
        <f>HLOOKUP(Language!$C$3,Language!$E$1:$Z545,79,FALSE)</f>
        <v>Four 1 Gbps RJ45 SFP transceivers Ethernet 10/100BASE-TX/1000BASE-T</v>
      </c>
      <c r="AB94" s="220" t="s">
        <v>79</v>
      </c>
      <c r="AC94" s="220"/>
      <c r="AD94" s="220" t="s">
        <v>38</v>
      </c>
      <c r="AE94" s="173" t="str">
        <f>HLOOKUP(Language!$C$3,Language!$E$1:$Z545,79,FALSE)</f>
        <v>Four 1 Gbps RJ45 SFP transceivers Ethernet 10/100BASE-TX/1000BASE-T</v>
      </c>
      <c r="AF94" s="220" t="s">
        <v>79</v>
      </c>
      <c r="AG94" s="220"/>
      <c r="AH94" s="220" t="s">
        <v>38</v>
      </c>
    </row>
    <row r="95" spans="1:34">
      <c r="A95" s="160"/>
      <c r="B95" s="17"/>
      <c r="C95" s="173" t="str">
        <f>HLOOKUP(Language!$C$3,Language!$E$1:$Z524,19,FALSE)</f>
        <v>Not installed</v>
      </c>
      <c r="D95" s="161" t="s">
        <v>27</v>
      </c>
      <c r="E95" s="161"/>
      <c r="F95" s="161" t="s">
        <v>38</v>
      </c>
      <c r="G95" s="173" t="str">
        <f>HLOOKUP(Language!$C$3,Language!$E$1:$Z524,19,FALSE)</f>
        <v>Not installed</v>
      </c>
      <c r="H95" s="220" t="s">
        <v>27</v>
      </c>
      <c r="I95" s="220"/>
      <c r="J95" s="220" t="s">
        <v>38</v>
      </c>
      <c r="K95" s="173" t="str">
        <f>HLOOKUP(Language!$C$3,Language!$E$1:$Z524,19,FALSE)</f>
        <v>Not installed</v>
      </c>
      <c r="L95" s="220" t="s">
        <v>27</v>
      </c>
      <c r="M95" s="220"/>
      <c r="N95" s="220" t="s">
        <v>38</v>
      </c>
      <c r="O95" s="173" t="str">
        <f>HLOOKUP(Language!$C$3,Language!$E$1:$Z524,19,FALSE)</f>
        <v>Not installed</v>
      </c>
      <c r="P95" s="220" t="s">
        <v>27</v>
      </c>
      <c r="Q95" s="220"/>
      <c r="R95" s="220" t="s">
        <v>38</v>
      </c>
      <c r="S95" s="173" t="str">
        <f>HLOOKUP(Language!$C$3,Language!$E$1:$Z524,19,FALSE)</f>
        <v>Not installed</v>
      </c>
      <c r="T95" s="220" t="s">
        <v>27</v>
      </c>
      <c r="U95" s="220"/>
      <c r="V95" s="220" t="s">
        <v>38</v>
      </c>
      <c r="W95" s="173" t="str">
        <f>HLOOKUP(Language!$C$3,Language!$E$1:$Z524,19,FALSE)</f>
        <v>Not installed</v>
      </c>
      <c r="X95" s="220" t="s">
        <v>27</v>
      </c>
      <c r="Y95" s="220"/>
      <c r="Z95" s="220" t="s">
        <v>38</v>
      </c>
      <c r="AA95" s="173" t="str">
        <f>HLOOKUP(Language!$C$3,Language!$E$1:$Z524,19,FALSE)</f>
        <v>Not installed</v>
      </c>
      <c r="AB95" s="220" t="s">
        <v>27</v>
      </c>
      <c r="AC95" s="220"/>
      <c r="AD95" s="220" t="s">
        <v>38</v>
      </c>
      <c r="AE95" s="173" t="str">
        <f>HLOOKUP(Language!$C$3,Language!$E$1:$Z524,19,FALSE)</f>
        <v>Not installed</v>
      </c>
      <c r="AF95" s="220" t="s">
        <v>27</v>
      </c>
      <c r="AG95" s="220"/>
      <c r="AH95" s="220" t="s">
        <v>38</v>
      </c>
    </row>
    <row r="96" spans="1:34">
      <c r="A96" s="162"/>
      <c r="B96" s="22"/>
      <c r="C96" s="163"/>
      <c r="D96" s="163"/>
      <c r="E96" s="163"/>
      <c r="F96" s="163"/>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row>
    <row r="97" spans="1:34">
      <c r="A97" s="158">
        <v>13</v>
      </c>
      <c r="B97" s="16" t="str">
        <f>HLOOKUP(Language!$C$3,Language!$E$1:$Z539,46,FALSE)</f>
        <v>Firmware Version</v>
      </c>
      <c r="C97" s="159" t="str">
        <f>CONCATENATE(HLOOKUP(Language!$C$3,Language!$E$1:$Z541,47,FALSE)," 07")</f>
        <v>Firmware release number 07</v>
      </c>
      <c r="D97" s="230" t="s">
        <v>137</v>
      </c>
      <c r="E97" s="159"/>
      <c r="F97" s="159" t="s">
        <v>38</v>
      </c>
      <c r="G97" s="219" t="str">
        <f>CONCATENATE(HLOOKUP(Language!$C$3,Language!$E$1:$Z541,47,FALSE)," 07")</f>
        <v>Firmware release number 07</v>
      </c>
      <c r="H97" s="230" t="s">
        <v>137</v>
      </c>
      <c r="I97" s="219"/>
      <c r="J97" s="219" t="s">
        <v>38</v>
      </c>
      <c r="K97" s="219" t="str">
        <f>CONCATENATE(HLOOKUP(Language!$C$3,Language!$E$1:$Z541,47,FALSE)," 07")</f>
        <v>Firmware release number 07</v>
      </c>
      <c r="L97" s="230" t="s">
        <v>137</v>
      </c>
      <c r="M97" s="219"/>
      <c r="N97" s="219" t="s">
        <v>38</v>
      </c>
      <c r="O97" s="219" t="str">
        <f>CONCATENATE(HLOOKUP(Language!$C$3,Language!$E$1:$Z541,47,FALSE)," 07")</f>
        <v>Firmware release number 07</v>
      </c>
      <c r="P97" s="230" t="s">
        <v>137</v>
      </c>
      <c r="Q97" s="219"/>
      <c r="R97" s="219" t="s">
        <v>38</v>
      </c>
      <c r="S97" s="219" t="str">
        <f>CONCATENATE(HLOOKUP(Language!$C$3,Language!$E$1:$Z541,47,FALSE)," 07")</f>
        <v>Firmware release number 07</v>
      </c>
      <c r="T97" s="230" t="s">
        <v>137</v>
      </c>
      <c r="U97" s="219"/>
      <c r="V97" s="219" t="s">
        <v>38</v>
      </c>
      <c r="W97" s="219" t="str">
        <f>CONCATENATE(HLOOKUP(Language!$C$3,Language!$E$1:$Z541,47,FALSE)," 07")</f>
        <v>Firmware release number 07</v>
      </c>
      <c r="X97" s="230" t="s">
        <v>137</v>
      </c>
      <c r="Y97" s="219"/>
      <c r="Z97" s="219" t="s">
        <v>38</v>
      </c>
      <c r="AA97" s="219" t="str">
        <f>CONCATENATE(HLOOKUP(Language!$C$3,Language!$E$1:$Z541,47,FALSE)," 07")</f>
        <v>Firmware release number 07</v>
      </c>
      <c r="AB97" s="230" t="s">
        <v>137</v>
      </c>
      <c r="AC97" s="219"/>
      <c r="AD97" s="219" t="s">
        <v>38</v>
      </c>
      <c r="AE97" s="219" t="str">
        <f>CONCATENATE(HLOOKUP(Language!$C$3,Language!$E$1:$Z541,47,FALSE)," 07")</f>
        <v>Firmware release number 07</v>
      </c>
      <c r="AF97" s="230" t="s">
        <v>137</v>
      </c>
      <c r="AG97" s="219"/>
      <c r="AH97" s="219" t="s">
        <v>38</v>
      </c>
    </row>
    <row r="98" spans="1:34">
      <c r="A98" s="160"/>
      <c r="B98" s="17"/>
      <c r="C98" s="220"/>
      <c r="D98" s="228"/>
      <c r="E98" s="220"/>
      <c r="F98" s="220"/>
      <c r="G98" s="220"/>
      <c r="H98" s="228"/>
      <c r="I98" s="220"/>
      <c r="J98" s="220"/>
      <c r="K98" s="220"/>
      <c r="L98" s="228"/>
      <c r="M98" s="220"/>
      <c r="N98" s="220"/>
      <c r="O98" s="220"/>
      <c r="P98" s="228"/>
      <c r="Q98" s="220"/>
      <c r="R98" s="220"/>
      <c r="S98" s="220"/>
      <c r="T98" s="228"/>
      <c r="U98" s="220"/>
      <c r="V98" s="220"/>
      <c r="W98" s="220"/>
      <c r="X98" s="228"/>
      <c r="Y98" s="220"/>
      <c r="Z98" s="220"/>
      <c r="AA98" s="220"/>
      <c r="AB98" s="228"/>
      <c r="AC98" s="220"/>
      <c r="AD98" s="220"/>
      <c r="AE98" s="220"/>
      <c r="AF98" s="228"/>
      <c r="AG98" s="220"/>
      <c r="AH98" s="220"/>
    </row>
    <row r="99" spans="1:34">
      <c r="A99" s="162"/>
      <c r="B99" s="22"/>
      <c r="C99" s="163"/>
      <c r="D99" s="163"/>
      <c r="E99" s="163"/>
      <c r="F99" s="220"/>
      <c r="G99" s="221"/>
      <c r="H99" s="221"/>
      <c r="I99" s="221"/>
      <c r="J99" s="220"/>
      <c r="K99" s="221"/>
      <c r="L99" s="221"/>
      <c r="M99" s="221"/>
      <c r="N99" s="220"/>
      <c r="O99" s="221"/>
      <c r="P99" s="221"/>
      <c r="Q99" s="221"/>
      <c r="R99" s="220"/>
      <c r="S99" s="221"/>
      <c r="T99" s="221"/>
      <c r="U99" s="221"/>
      <c r="V99" s="220"/>
      <c r="W99" s="221"/>
      <c r="X99" s="221"/>
      <c r="Y99" s="221"/>
      <c r="Z99" s="220"/>
      <c r="AA99" s="221"/>
      <c r="AB99" s="221"/>
      <c r="AC99" s="221"/>
      <c r="AD99" s="220"/>
      <c r="AE99" s="221"/>
      <c r="AF99" s="221"/>
      <c r="AG99" s="221"/>
      <c r="AH99" s="220"/>
    </row>
    <row r="100" spans="1:34">
      <c r="A100" s="250">
        <v>14</v>
      </c>
      <c r="B100" s="252" t="str">
        <f>HLOOKUP(Language!$C$3,Language!$E$1:$Z541,49,FALSE)</f>
        <v>Hardware Design Suffix</v>
      </c>
      <c r="C100" s="245" t="str">
        <f>HLOOKUP(Language!$C$3,Language!$E$1:$Z543,50,FALSE)</f>
        <v>Standard hardware release</v>
      </c>
      <c r="D100" s="219" t="s">
        <v>26</v>
      </c>
      <c r="E100" s="245"/>
      <c r="F100" s="219" t="s">
        <v>38</v>
      </c>
      <c r="G100" s="245" t="str">
        <f>HLOOKUP(Language!$C$3,Language!$E$1:$Z543,50,FALSE)</f>
        <v>Standard hardware release</v>
      </c>
      <c r="H100" s="219" t="s">
        <v>26</v>
      </c>
      <c r="I100" s="245"/>
      <c r="J100" s="219" t="s">
        <v>38</v>
      </c>
      <c r="K100" s="245" t="str">
        <f>HLOOKUP(Language!$C$3,Language!$E$1:$Z543,81,FALSE)</f>
        <v>Hardware C version</v>
      </c>
      <c r="L100" s="219" t="s">
        <v>28</v>
      </c>
      <c r="M100" s="245"/>
      <c r="N100" s="219" t="s">
        <v>38</v>
      </c>
      <c r="O100" s="245" t="str">
        <f>HLOOKUP(Language!$C$3,Language!$E$1:$Z543,81,FALSE)</f>
        <v>Hardware C version</v>
      </c>
      <c r="P100" s="219" t="s">
        <v>28</v>
      </c>
      <c r="Q100" s="245"/>
      <c r="R100" s="219" t="s">
        <v>38</v>
      </c>
      <c r="S100" s="245" t="str">
        <f>HLOOKUP(Language!$C$3,Language!$E$1:$Z543,81,FALSE)</f>
        <v>Hardware C version</v>
      </c>
      <c r="T100" s="219" t="s">
        <v>28</v>
      </c>
      <c r="U100" s="245"/>
      <c r="V100" s="219" t="s">
        <v>38</v>
      </c>
      <c r="W100" s="245" t="str">
        <f>HLOOKUP(Language!$C$3,Language!$E$1:$Z543,81,FALSE)</f>
        <v>Hardware C version</v>
      </c>
      <c r="X100" s="219" t="s">
        <v>28</v>
      </c>
      <c r="Y100" s="245"/>
      <c r="Z100" s="219" t="s">
        <v>38</v>
      </c>
      <c r="AA100" s="245" t="str">
        <f>HLOOKUP(Language!$C$3,Language!$E$1:$Z543,81,FALSE)</f>
        <v>Hardware C version</v>
      </c>
      <c r="AB100" s="219" t="s">
        <v>28</v>
      </c>
      <c r="AC100" s="245"/>
      <c r="AD100" s="219" t="s">
        <v>38</v>
      </c>
      <c r="AE100" s="245" t="str">
        <f>HLOOKUP(Language!$C$3,Language!$E$1:$Z543,81,FALSE)</f>
        <v>Hardware C version</v>
      </c>
      <c r="AF100" s="219" t="s">
        <v>28</v>
      </c>
      <c r="AG100" s="245"/>
      <c r="AH100" s="219" t="s">
        <v>38</v>
      </c>
    </row>
    <row r="101" spans="1:34">
      <c r="A101" s="251"/>
      <c r="B101" s="253"/>
      <c r="C101" s="247" t="str">
        <f>HLOOKUP(Language!$C$3,Language!$E$1:$Z543,73,FALSE)</f>
        <v>Alternate hardware release</v>
      </c>
      <c r="D101" s="220" t="s">
        <v>176</v>
      </c>
      <c r="E101" s="247"/>
      <c r="F101" s="220" t="s">
        <v>38</v>
      </c>
      <c r="G101" s="247" t="str">
        <f>HLOOKUP(Language!$C$3,Language!$E$1:$Z543,74,FALSE)</f>
        <v>Alternate hardware release (Withdraw)</v>
      </c>
      <c r="H101" s="220" t="s">
        <v>176</v>
      </c>
      <c r="I101" s="247"/>
      <c r="J101" s="220" t="s">
        <v>38</v>
      </c>
      <c r="K101" s="247" t="str">
        <f>HLOOKUP(Language!$C$3,Language!$E$1:$Z544,80,FALSE)</f>
        <v>Hardware B version</v>
      </c>
      <c r="L101" s="220" t="s">
        <v>26</v>
      </c>
      <c r="M101" s="247"/>
      <c r="N101" s="220" t="s">
        <v>38</v>
      </c>
      <c r="O101" s="247" t="str">
        <f>HLOOKUP(Language!$C$3,Language!$E$1:$Z544,80,FALSE)</f>
        <v>Hardware B version</v>
      </c>
      <c r="P101" s="220" t="s">
        <v>26</v>
      </c>
      <c r="Q101" s="247"/>
      <c r="R101" s="220" t="s">
        <v>38</v>
      </c>
      <c r="S101" s="247" t="str">
        <f>HLOOKUP(Language!$C$3,Language!$E$1:$Z544,80,FALSE)</f>
        <v>Hardware B version</v>
      </c>
      <c r="T101" s="220" t="s">
        <v>26</v>
      </c>
      <c r="U101" s="247"/>
      <c r="V101" s="220" t="s">
        <v>38</v>
      </c>
      <c r="W101" s="247" t="str">
        <f>HLOOKUP(Language!$C$3,Language!$E$1:$Z544,80,FALSE)</f>
        <v>Hardware B version</v>
      </c>
      <c r="X101" s="220" t="s">
        <v>26</v>
      </c>
      <c r="Y101" s="247"/>
      <c r="Z101" s="220" t="s">
        <v>38</v>
      </c>
      <c r="AA101" s="247" t="str">
        <f>HLOOKUP(Language!$C$3,Language!$E$1:$Z544,80,FALSE)</f>
        <v>Hardware B version</v>
      </c>
      <c r="AB101" s="220" t="s">
        <v>26</v>
      </c>
      <c r="AC101" s="247"/>
      <c r="AD101" s="220" t="s">
        <v>38</v>
      </c>
      <c r="AE101" s="247" t="str">
        <f>HLOOKUP(Language!$C$3,Language!$E$1:$Z544,80,FALSE)</f>
        <v>Hardware B version</v>
      </c>
      <c r="AF101" s="220" t="s">
        <v>26</v>
      </c>
      <c r="AG101" s="247"/>
      <c r="AH101" s="220" t="s">
        <v>199</v>
      </c>
    </row>
    <row r="102" spans="1:34">
      <c r="A102" s="255"/>
      <c r="B102" s="253"/>
      <c r="C102" s="110"/>
      <c r="D102" s="247"/>
      <c r="E102" s="247"/>
      <c r="F102" s="220"/>
      <c r="G102" s="110"/>
      <c r="H102" s="247"/>
      <c r="I102" s="247"/>
      <c r="J102" s="220"/>
      <c r="K102" s="247" t="str">
        <f>HLOOKUP(Language!$C$3,Language!$E$1:$Z544,74,FALSE)</f>
        <v>Alternate hardware release (Withdraw)</v>
      </c>
      <c r="L102" s="220" t="s">
        <v>176</v>
      </c>
      <c r="M102" s="247"/>
      <c r="N102" s="220" t="s">
        <v>38</v>
      </c>
      <c r="O102" s="247" t="str">
        <f>HLOOKUP(Language!$C$3,Language!$E$1:$Z544,74,FALSE)</f>
        <v>Alternate hardware release (Withdraw)</v>
      </c>
      <c r="P102" s="220" t="s">
        <v>176</v>
      </c>
      <c r="Q102" s="247"/>
      <c r="R102" s="220" t="s">
        <v>38</v>
      </c>
      <c r="S102" s="247" t="str">
        <f>HLOOKUP(Language!$C$3,Language!$E$1:$Z544,74,FALSE)</f>
        <v>Alternate hardware release (Withdraw)</v>
      </c>
      <c r="T102" s="220" t="s">
        <v>176</v>
      </c>
      <c r="U102" s="247"/>
      <c r="V102" s="220" t="s">
        <v>38</v>
      </c>
      <c r="W102" s="247" t="str">
        <f>HLOOKUP(Language!$C$3,Language!$E$1:$Z544,74,FALSE)</f>
        <v>Alternate hardware release (Withdraw)</v>
      </c>
      <c r="X102" s="220" t="s">
        <v>176</v>
      </c>
      <c r="Y102" s="247"/>
      <c r="Z102" s="220" t="s">
        <v>38</v>
      </c>
      <c r="AA102" s="247" t="str">
        <f>HLOOKUP(Language!$C$3,Language!$E$1:$Z544,74,FALSE)</f>
        <v>Alternate hardware release (Withdraw)</v>
      </c>
      <c r="AB102" s="220" t="s">
        <v>176</v>
      </c>
      <c r="AC102" s="247"/>
      <c r="AD102" s="220" t="s">
        <v>38</v>
      </c>
      <c r="AE102" s="247" t="str">
        <f>HLOOKUP(Language!$C$3,Language!$E$1:$Z544,74,FALSE)</f>
        <v>Alternate hardware release (Withdraw)</v>
      </c>
      <c r="AF102" s="220" t="s">
        <v>176</v>
      </c>
      <c r="AG102" s="247"/>
      <c r="AH102" s="220" t="s">
        <v>199</v>
      </c>
    </row>
    <row r="103" spans="1:34">
      <c r="A103" s="248"/>
      <c r="B103" s="254"/>
      <c r="C103" s="249"/>
      <c r="D103" s="246"/>
      <c r="E103" s="221"/>
      <c r="F103" s="221"/>
      <c r="G103" s="249"/>
      <c r="H103" s="246"/>
      <c r="I103" s="221"/>
      <c r="J103" s="221"/>
      <c r="K103" s="249"/>
      <c r="L103" s="246"/>
      <c r="M103" s="221"/>
      <c r="N103" s="221"/>
      <c r="O103" s="249"/>
      <c r="P103" s="246"/>
      <c r="Q103" s="221"/>
      <c r="R103" s="221"/>
      <c r="S103" s="249"/>
      <c r="T103" s="246"/>
      <c r="U103" s="221"/>
      <c r="V103" s="221"/>
      <c r="W103" s="249"/>
      <c r="X103" s="246"/>
      <c r="Y103" s="221"/>
      <c r="Z103" s="221"/>
      <c r="AA103" s="249"/>
      <c r="AB103" s="246"/>
      <c r="AC103" s="221"/>
      <c r="AD103" s="221"/>
      <c r="AE103" s="249"/>
      <c r="AF103" s="246"/>
      <c r="AG103" s="221"/>
      <c r="AH103" s="221"/>
    </row>
    <row r="104" spans="1:34">
      <c r="A104" s="160">
        <v>15</v>
      </c>
      <c r="B104" s="17" t="str">
        <f>HLOOKUP(Language!$C$3,Language!$E$1:$Z541,99,FALSE)</f>
        <v>UL/CSA Recognized</v>
      </c>
      <c r="C104" s="220" t="str">
        <f>HLOOKUP(Language!$C$3,Language!$E$1:$Z543,52,FALSE)</f>
        <v>Standard coating</v>
      </c>
      <c r="D104" s="220" t="s">
        <v>144</v>
      </c>
      <c r="E104" s="219"/>
      <c r="F104" s="220" t="s">
        <v>199</v>
      </c>
      <c r="G104" s="220" t="str">
        <f>HLOOKUP(Language!$C$3,Language!$E$1:$Z543,52,FALSE)</f>
        <v>Standard coating</v>
      </c>
      <c r="H104" s="220" t="s">
        <v>144</v>
      </c>
      <c r="I104" s="219"/>
      <c r="J104" s="220" t="s">
        <v>199</v>
      </c>
      <c r="K104" s="220" t="str">
        <f>HLOOKUP(Language!$C$3,Language!$E$1:$Z543,52,FALSE)</f>
        <v>Standard coating</v>
      </c>
      <c r="L104" s="220" t="s">
        <v>144</v>
      </c>
      <c r="M104" s="219"/>
      <c r="N104" s="220" t="s">
        <v>199</v>
      </c>
      <c r="O104" s="220" t="str">
        <f>HLOOKUP(Language!$C$3,Language!$E$1:$Z543,52,FALSE)</f>
        <v>Standard coating</v>
      </c>
      <c r="P104" s="220" t="s">
        <v>144</v>
      </c>
      <c r="Q104" s="219"/>
      <c r="R104" s="220" t="s">
        <v>199</v>
      </c>
      <c r="S104" s="220" t="str">
        <f>HLOOKUP(Language!$C$3,Language!$E$1:$Z543,52,FALSE)</f>
        <v>Standard coating</v>
      </c>
      <c r="T104" s="220" t="s">
        <v>144</v>
      </c>
      <c r="U104" s="219"/>
      <c r="V104" s="220" t="s">
        <v>38</v>
      </c>
      <c r="W104" s="220" t="str">
        <f>HLOOKUP(Language!$C$3,Language!$E$1:$Z543,100,FALSE)</f>
        <v>Yes</v>
      </c>
      <c r="X104" s="220">
        <v>1</v>
      </c>
      <c r="Y104" s="219"/>
      <c r="Z104" s="220" t="s">
        <v>38</v>
      </c>
      <c r="AA104" s="220" t="str">
        <f>HLOOKUP(Language!$C$3,Language!$E$1:$Z543,100,FALSE)</f>
        <v>Yes</v>
      </c>
      <c r="AB104" s="220">
        <v>1</v>
      </c>
      <c r="AC104" s="219"/>
      <c r="AD104" s="220" t="s">
        <v>38</v>
      </c>
      <c r="AE104" s="220" t="str">
        <f>HLOOKUP(Language!$C$3,Language!$E$1:$Z543,100,FALSE)</f>
        <v>Yes</v>
      </c>
      <c r="AF104" s="220">
        <v>1</v>
      </c>
      <c r="AG104" s="219"/>
      <c r="AH104" s="220" t="s">
        <v>38</v>
      </c>
    </row>
    <row r="105" spans="1:34">
      <c r="A105" s="160"/>
      <c r="B105" s="17"/>
      <c r="C105" s="220"/>
      <c r="D105" s="220"/>
      <c r="E105" s="220"/>
      <c r="F105" s="220"/>
      <c r="G105" s="220"/>
      <c r="H105" s="220"/>
      <c r="I105" s="220"/>
      <c r="J105" s="220"/>
      <c r="K105" s="220"/>
      <c r="L105" s="220"/>
      <c r="M105" s="220"/>
      <c r="N105" s="220"/>
      <c r="O105" s="220"/>
      <c r="P105" s="220"/>
      <c r="Q105" s="220"/>
      <c r="R105" s="220"/>
      <c r="S105" s="220"/>
      <c r="T105" s="220"/>
      <c r="U105" s="220"/>
      <c r="V105" s="220" t="s">
        <v>38</v>
      </c>
      <c r="W105" s="247" t="str">
        <f>HLOOKUP(Language!$C$3,Language!$E$1:$Z548,101,FALSE)</f>
        <v>No</v>
      </c>
      <c r="X105" s="220">
        <v>0</v>
      </c>
      <c r="Y105" s="220"/>
      <c r="Z105" s="220" t="s">
        <v>38</v>
      </c>
      <c r="AA105" s="247" t="str">
        <f>HLOOKUP(Language!$C$3,Language!$E$1:$Z548,101,FALSE)</f>
        <v>No</v>
      </c>
      <c r="AB105" s="220">
        <v>0</v>
      </c>
      <c r="AC105" s="220"/>
      <c r="AD105" s="220" t="s">
        <v>38</v>
      </c>
      <c r="AE105" s="247" t="str">
        <f>HLOOKUP(Language!$C$3,Language!$E$1:$Z548,101,FALSE)</f>
        <v>No</v>
      </c>
      <c r="AF105" s="220">
        <v>0</v>
      </c>
      <c r="AG105" s="220"/>
      <c r="AH105" s="220" t="s">
        <v>38</v>
      </c>
    </row>
    <row r="106" spans="1:34">
      <c r="A106" s="162"/>
      <c r="B106" s="18"/>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c r="AH106" s="221"/>
    </row>
  </sheetData>
  <pageMargins left="0.511811024" right="0.511811024" top="0.78740157499999996" bottom="0.78740157499999996" header="0.31496062000000002" footer="0.31496062000000002"/>
  <pageSetup orientation="portrait" r:id="rId1"/>
  <ignoredErrors>
    <ignoredError sqref="D9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7"/>
  <dimension ref="A1:F108"/>
  <sheetViews>
    <sheetView topLeftCell="C74" zoomScale="115" zoomScaleNormal="115" workbookViewId="0">
      <selection activeCell="F103" sqref="F103"/>
    </sheetView>
  </sheetViews>
  <sheetFormatPr defaultColWidth="9.1796875" defaultRowHeight="11.5"/>
  <cols>
    <col min="1" max="1" width="2.453125" style="1" customWidth="1"/>
    <col min="2" max="2" width="30.81640625" style="2" customWidth="1"/>
    <col min="3" max="3" width="3.1796875" style="3" customWidth="1"/>
    <col min="4" max="4" width="3.1796875" style="2" customWidth="1"/>
    <col min="5" max="5" width="92.26953125" style="4" customWidth="1"/>
    <col min="6" max="6" width="101" style="4" customWidth="1"/>
    <col min="7" max="16384" width="9.1796875" style="2"/>
  </cols>
  <sheetData>
    <row r="1" spans="1:6">
      <c r="B1" s="2" t="s">
        <v>0</v>
      </c>
      <c r="E1" s="4" t="s">
        <v>1</v>
      </c>
      <c r="F1" s="4" t="s">
        <v>2</v>
      </c>
    </row>
    <row r="2" spans="1:6">
      <c r="E2" s="4" t="s">
        <v>14</v>
      </c>
      <c r="F2" s="4" t="s">
        <v>15</v>
      </c>
    </row>
    <row r="3" spans="1:6" ht="23">
      <c r="A3" s="5">
        <v>1</v>
      </c>
      <c r="B3" s="6" t="str">
        <f>VLOOKUP(A3,A4:C6,2,FALSE)</f>
        <v>English</v>
      </c>
      <c r="C3" s="7" t="str">
        <f>VLOOKUP(A3,A4:C6,3,FALSE)</f>
        <v>En</v>
      </c>
      <c r="D3" s="8"/>
      <c r="E3" s="4" t="s">
        <v>16</v>
      </c>
      <c r="F3" s="4" t="s">
        <v>17</v>
      </c>
    </row>
    <row r="4" spans="1:6" ht="35.25" customHeight="1">
      <c r="A4" s="9">
        <v>1</v>
      </c>
      <c r="B4" s="8" t="s">
        <v>5</v>
      </c>
      <c r="C4" s="10" t="s">
        <v>1</v>
      </c>
      <c r="D4" s="8"/>
      <c r="E4" s="14" t="s">
        <v>18</v>
      </c>
      <c r="F4" s="14" t="s">
        <v>19</v>
      </c>
    </row>
    <row r="5" spans="1:6">
      <c r="A5" s="9">
        <v>2</v>
      </c>
      <c r="B5" s="8" t="s">
        <v>6</v>
      </c>
      <c r="C5" s="10" t="s">
        <v>2</v>
      </c>
      <c r="D5" s="8"/>
      <c r="E5" s="4" t="s">
        <v>12</v>
      </c>
      <c r="F5" s="4" t="s">
        <v>13</v>
      </c>
    </row>
    <row r="6" spans="1:6">
      <c r="A6" s="11"/>
      <c r="B6" s="12"/>
      <c r="C6" s="13"/>
      <c r="D6" s="8"/>
      <c r="E6" s="217" t="s">
        <v>20</v>
      </c>
      <c r="F6" s="217" t="s">
        <v>21</v>
      </c>
    </row>
    <row r="7" spans="1:6">
      <c r="E7" s="217" t="s">
        <v>22</v>
      </c>
      <c r="F7" s="217" t="s">
        <v>23</v>
      </c>
    </row>
    <row r="8" spans="1:6">
      <c r="E8" s="217" t="s">
        <v>24</v>
      </c>
      <c r="F8" s="217" t="s">
        <v>75</v>
      </c>
    </row>
    <row r="9" spans="1:6">
      <c r="E9" s="217" t="s">
        <v>3</v>
      </c>
      <c r="F9" s="217" t="s">
        <v>4</v>
      </c>
    </row>
    <row r="10" spans="1:6">
      <c r="E10" s="217" t="s">
        <v>114</v>
      </c>
      <c r="F10" s="217" t="s">
        <v>115</v>
      </c>
    </row>
    <row r="11" spans="1:6">
      <c r="E11" s="217" t="s">
        <v>116</v>
      </c>
      <c r="F11" s="217" t="s">
        <v>116</v>
      </c>
    </row>
    <row r="12" spans="1:6">
      <c r="E12" s="217" t="s">
        <v>168</v>
      </c>
      <c r="F12" s="217" t="s">
        <v>169</v>
      </c>
    </row>
    <row r="13" spans="1:6">
      <c r="E13" s="217" t="s">
        <v>117</v>
      </c>
      <c r="F13" s="217" t="s">
        <v>119</v>
      </c>
    </row>
    <row r="14" spans="1:6">
      <c r="E14" s="217" t="s">
        <v>118</v>
      </c>
      <c r="F14" s="217" t="s">
        <v>120</v>
      </c>
    </row>
    <row r="15" spans="1:6">
      <c r="E15" s="217" t="s">
        <v>43</v>
      </c>
      <c r="F15" s="217" t="s">
        <v>44</v>
      </c>
    </row>
    <row r="16" spans="1:6">
      <c r="E16" s="217" t="s">
        <v>45</v>
      </c>
      <c r="F16" s="217" t="s">
        <v>46</v>
      </c>
    </row>
    <row r="17" spans="5:6">
      <c r="E17" s="217" t="s">
        <v>208</v>
      </c>
      <c r="F17" s="217" t="s">
        <v>208</v>
      </c>
    </row>
    <row r="18" spans="5:6">
      <c r="E18" s="217" t="s">
        <v>66</v>
      </c>
      <c r="F18" s="217" t="s">
        <v>67</v>
      </c>
    </row>
    <row r="19" spans="5:6">
      <c r="E19" s="217" t="s">
        <v>7</v>
      </c>
      <c r="F19" s="217" t="s">
        <v>8</v>
      </c>
    </row>
    <row r="20" spans="5:6">
      <c r="E20" s="217" t="s">
        <v>59</v>
      </c>
      <c r="F20" s="217" t="s">
        <v>60</v>
      </c>
    </row>
    <row r="21" spans="5:6">
      <c r="E21" s="217" t="s">
        <v>65</v>
      </c>
      <c r="F21" s="217" t="s">
        <v>64</v>
      </c>
    </row>
    <row r="22" spans="5:6">
      <c r="E22" s="217" t="s">
        <v>179</v>
      </c>
      <c r="F22" s="217" t="s">
        <v>181</v>
      </c>
    </row>
    <row r="23" spans="5:6">
      <c r="E23" s="217" t="s">
        <v>121</v>
      </c>
      <c r="F23" s="217" t="s">
        <v>127</v>
      </c>
    </row>
    <row r="24" spans="5:6">
      <c r="E24" s="217" t="s">
        <v>122</v>
      </c>
      <c r="F24" s="217" t="s">
        <v>128</v>
      </c>
    </row>
    <row r="25" spans="5:6">
      <c r="E25" s="217" t="s">
        <v>180</v>
      </c>
      <c r="F25" s="217" t="s">
        <v>182</v>
      </c>
    </row>
    <row r="26" spans="5:6">
      <c r="E26" s="217" t="s">
        <v>123</v>
      </c>
      <c r="F26" s="217" t="s">
        <v>125</v>
      </c>
    </row>
    <row r="27" spans="5:6">
      <c r="E27" s="217" t="s">
        <v>124</v>
      </c>
      <c r="F27" s="217" t="s">
        <v>126</v>
      </c>
    </row>
    <row r="28" spans="5:6">
      <c r="E28" s="217" t="s">
        <v>47</v>
      </c>
      <c r="F28" s="217" t="s">
        <v>48</v>
      </c>
    </row>
    <row r="29" spans="5:6">
      <c r="E29" s="217" t="s">
        <v>49</v>
      </c>
      <c r="F29" s="217" t="s">
        <v>53</v>
      </c>
    </row>
    <row r="30" spans="5:6">
      <c r="E30" s="217" t="s">
        <v>50</v>
      </c>
      <c r="F30" s="217" t="s">
        <v>54</v>
      </c>
    </row>
    <row r="31" spans="5:6">
      <c r="E31" s="217" t="s">
        <v>51</v>
      </c>
      <c r="F31" s="217" t="s">
        <v>55</v>
      </c>
    </row>
    <row r="32" spans="5:6">
      <c r="E32" s="217" t="s">
        <v>52</v>
      </c>
      <c r="F32" s="217" t="s">
        <v>56</v>
      </c>
    </row>
    <row r="33" spans="5:6">
      <c r="E33" s="217" t="s">
        <v>76</v>
      </c>
      <c r="F33" s="217" t="s">
        <v>77</v>
      </c>
    </row>
    <row r="34" spans="5:6">
      <c r="E34" s="217" t="s">
        <v>78</v>
      </c>
      <c r="F34" s="229" t="s">
        <v>153</v>
      </c>
    </row>
    <row r="35" spans="5:6">
      <c r="E35" s="217" t="s">
        <v>57</v>
      </c>
      <c r="F35" s="229" t="s">
        <v>165</v>
      </c>
    </row>
    <row r="36" spans="5:6">
      <c r="E36" s="217" t="s">
        <v>129</v>
      </c>
      <c r="F36" s="229" t="s">
        <v>155</v>
      </c>
    </row>
    <row r="37" spans="5:6">
      <c r="E37" s="229" t="s">
        <v>130</v>
      </c>
      <c r="F37" s="229" t="s">
        <v>156</v>
      </c>
    </row>
    <row r="38" spans="5:6">
      <c r="E38" s="217" t="s">
        <v>131</v>
      </c>
      <c r="F38" s="229" t="s">
        <v>157</v>
      </c>
    </row>
    <row r="39" spans="5:6">
      <c r="E39" s="217" t="s">
        <v>132</v>
      </c>
      <c r="F39" s="229" t="s">
        <v>158</v>
      </c>
    </row>
    <row r="40" spans="5:6">
      <c r="E40" s="217" t="s">
        <v>133</v>
      </c>
      <c r="F40" s="229" t="s">
        <v>159</v>
      </c>
    </row>
    <row r="41" spans="5:6">
      <c r="E41" s="217" t="s">
        <v>58</v>
      </c>
      <c r="F41" s="229" t="s">
        <v>154</v>
      </c>
    </row>
    <row r="42" spans="5:6">
      <c r="E42" s="217" t="s">
        <v>178</v>
      </c>
      <c r="F42" s="229" t="s">
        <v>177</v>
      </c>
    </row>
    <row r="43" spans="5:6" ht="23">
      <c r="E43" s="217" t="s">
        <v>134</v>
      </c>
      <c r="F43" s="229" t="s">
        <v>160</v>
      </c>
    </row>
    <row r="44" spans="5:6" ht="23">
      <c r="E44" s="217" t="s">
        <v>135</v>
      </c>
      <c r="F44" s="229" t="s">
        <v>161</v>
      </c>
    </row>
    <row r="45" spans="5:6" ht="23">
      <c r="E45" s="217" t="s">
        <v>136</v>
      </c>
      <c r="F45" s="229" t="s">
        <v>162</v>
      </c>
    </row>
    <row r="46" spans="5:6">
      <c r="E46" s="217" t="s">
        <v>9</v>
      </c>
      <c r="F46" s="229" t="s">
        <v>72</v>
      </c>
    </row>
    <row r="47" spans="5:6">
      <c r="E47" s="217" t="s">
        <v>138</v>
      </c>
      <c r="F47" s="229" t="s">
        <v>139</v>
      </c>
    </row>
    <row r="48" spans="5:6">
      <c r="E48" s="218" t="s">
        <v>84</v>
      </c>
      <c r="F48" s="218" t="s">
        <v>85</v>
      </c>
    </row>
    <row r="49" spans="5:6">
      <c r="E49" s="217" t="s">
        <v>10</v>
      </c>
      <c r="F49" s="217" t="s">
        <v>73</v>
      </c>
    </row>
    <row r="50" spans="5:6">
      <c r="E50" s="2" t="s">
        <v>63</v>
      </c>
      <c r="F50" s="2" t="s">
        <v>74</v>
      </c>
    </row>
    <row r="51" spans="5:6">
      <c r="E51" s="2" t="s">
        <v>141</v>
      </c>
      <c r="F51" s="2" t="s">
        <v>142</v>
      </c>
    </row>
    <row r="52" spans="5:6">
      <c r="E52" s="2" t="s">
        <v>140</v>
      </c>
      <c r="F52" s="2" t="s">
        <v>143</v>
      </c>
    </row>
    <row r="53" spans="5:6">
      <c r="E53" s="218" t="s">
        <v>86</v>
      </c>
      <c r="F53" s="218" t="s">
        <v>87</v>
      </c>
    </row>
    <row r="54" spans="5:6">
      <c r="E54" s="217" t="s">
        <v>94</v>
      </c>
      <c r="F54" s="217" t="s">
        <v>95</v>
      </c>
    </row>
    <row r="55" spans="5:6">
      <c r="E55" s="217" t="s">
        <v>96</v>
      </c>
      <c r="F55" s="217" t="s">
        <v>97</v>
      </c>
    </row>
    <row r="56" spans="5:6">
      <c r="E56" s="217" t="s">
        <v>34</v>
      </c>
      <c r="F56" s="217" t="s">
        <v>98</v>
      </c>
    </row>
    <row r="57" spans="5:6">
      <c r="E57" s="217" t="s">
        <v>89</v>
      </c>
      <c r="F57" s="217" t="s">
        <v>99</v>
      </c>
    </row>
    <row r="58" spans="5:6">
      <c r="E58" s="217" t="s">
        <v>111</v>
      </c>
      <c r="F58" s="217" t="s">
        <v>112</v>
      </c>
    </row>
    <row r="59" spans="5:6">
      <c r="E59" s="217" t="s">
        <v>100</v>
      </c>
      <c r="F59" s="217" t="s">
        <v>101</v>
      </c>
    </row>
    <row r="60" spans="5:6">
      <c r="E60" s="217" t="s">
        <v>102</v>
      </c>
      <c r="F60" s="217" t="s">
        <v>103</v>
      </c>
    </row>
    <row r="61" spans="5:6">
      <c r="E61" s="217" t="s">
        <v>108</v>
      </c>
      <c r="F61" s="217" t="s">
        <v>109</v>
      </c>
    </row>
    <row r="62" spans="5:6">
      <c r="E62" s="217" t="s">
        <v>104</v>
      </c>
      <c r="F62" s="217" t="s">
        <v>105</v>
      </c>
    </row>
    <row r="63" spans="5:6">
      <c r="E63" s="217" t="s">
        <v>106</v>
      </c>
      <c r="F63" s="217" t="s">
        <v>107</v>
      </c>
    </row>
    <row r="64" spans="5:6">
      <c r="E64" s="229" t="s">
        <v>152</v>
      </c>
      <c r="F64" s="229" t="s">
        <v>163</v>
      </c>
    </row>
    <row r="65" spans="5:6">
      <c r="E65" s="217" t="s">
        <v>11</v>
      </c>
      <c r="F65" s="217" t="s">
        <v>164</v>
      </c>
    </row>
    <row r="66" spans="5:6" ht="23">
      <c r="E66" s="217" t="s">
        <v>183</v>
      </c>
      <c r="F66" s="217" t="s">
        <v>184</v>
      </c>
    </row>
    <row r="67" spans="5:6">
      <c r="E67" s="217" t="s">
        <v>148</v>
      </c>
      <c r="F67" s="217" t="s">
        <v>149</v>
      </c>
    </row>
    <row r="68" spans="5:6">
      <c r="E68" s="217" t="s">
        <v>151</v>
      </c>
      <c r="F68" s="217" t="s">
        <v>150</v>
      </c>
    </row>
    <row r="69" spans="5:6">
      <c r="E69" s="4" t="s">
        <v>166</v>
      </c>
      <c r="F69" s="4" t="s">
        <v>166</v>
      </c>
    </row>
    <row r="70" spans="5:6">
      <c r="E70" s="4" t="s">
        <v>167</v>
      </c>
      <c r="F70" s="217" t="s">
        <v>167</v>
      </c>
    </row>
    <row r="71" spans="5:6">
      <c r="E71" s="4" t="s">
        <v>170</v>
      </c>
      <c r="F71" s="4" t="s">
        <v>171</v>
      </c>
    </row>
    <row r="72" spans="5:6">
      <c r="E72" s="4" t="s">
        <v>172</v>
      </c>
      <c r="F72" s="4" t="s">
        <v>173</v>
      </c>
    </row>
    <row r="73" spans="5:6">
      <c r="E73" s="4" t="s">
        <v>174</v>
      </c>
      <c r="F73" s="4" t="s">
        <v>175</v>
      </c>
    </row>
    <row r="74" spans="5:6">
      <c r="E74" s="217" t="s">
        <v>187</v>
      </c>
      <c r="F74" s="217" t="s">
        <v>186</v>
      </c>
    </row>
    <row r="75" spans="5:6" ht="23">
      <c r="E75" s="4" t="s">
        <v>193</v>
      </c>
      <c r="F75" s="217" t="s">
        <v>194</v>
      </c>
    </row>
    <row r="76" spans="5:6">
      <c r="E76" s="217" t="s">
        <v>196</v>
      </c>
      <c r="F76" s="217" t="s">
        <v>195</v>
      </c>
    </row>
    <row r="77" spans="5:6">
      <c r="E77" s="4" t="s">
        <v>189</v>
      </c>
      <c r="F77" s="4" t="s">
        <v>191</v>
      </c>
    </row>
    <row r="78" spans="5:6">
      <c r="E78" s="4" t="s">
        <v>190</v>
      </c>
      <c r="F78" s="217" t="s">
        <v>192</v>
      </c>
    </row>
    <row r="79" spans="5:6">
      <c r="E79" s="217" t="s">
        <v>197</v>
      </c>
      <c r="F79" s="229" t="s">
        <v>198</v>
      </c>
    </row>
    <row r="80" spans="5:6">
      <c r="E80" s="2" t="s">
        <v>200</v>
      </c>
      <c r="F80" s="2" t="s">
        <v>201</v>
      </c>
    </row>
    <row r="81" spans="5:6">
      <c r="E81" s="4" t="s">
        <v>202</v>
      </c>
      <c r="F81" s="4" t="s">
        <v>203</v>
      </c>
    </row>
    <row r="82" spans="5:6">
      <c r="E82" s="4" t="s">
        <v>213</v>
      </c>
      <c r="F82" s="4" t="s">
        <v>212</v>
      </c>
    </row>
    <row r="83" spans="5:6">
      <c r="E83" s="4" t="s">
        <v>205</v>
      </c>
      <c r="F83" s="4" t="s">
        <v>206</v>
      </c>
    </row>
    <row r="84" spans="5:6">
      <c r="E84" s="217" t="s">
        <v>210</v>
      </c>
      <c r="F84" s="217" t="s">
        <v>211</v>
      </c>
    </row>
    <row r="85" spans="5:6">
      <c r="E85" s="217" t="s">
        <v>214</v>
      </c>
      <c r="F85" s="217" t="s">
        <v>215</v>
      </c>
    </row>
    <row r="86" spans="5:6">
      <c r="E86" s="4" t="s">
        <v>216</v>
      </c>
      <c r="F86" s="4" t="s">
        <v>217</v>
      </c>
    </row>
    <row r="87" spans="5:6" ht="23">
      <c r="E87" s="4" t="s">
        <v>218</v>
      </c>
      <c r="F87" s="217" t="s">
        <v>219</v>
      </c>
    </row>
    <row r="88" spans="5:6">
      <c r="E88" s="4" t="s">
        <v>34</v>
      </c>
      <c r="F88" s="4" t="s">
        <v>98</v>
      </c>
    </row>
    <row r="89" spans="5:6">
      <c r="E89" s="4" t="s">
        <v>220</v>
      </c>
      <c r="F89" s="217" t="s">
        <v>221</v>
      </c>
    </row>
    <row r="90" spans="5:6">
      <c r="E90" s="4" t="s">
        <v>223</v>
      </c>
      <c r="F90" s="4" t="s">
        <v>222</v>
      </c>
    </row>
    <row r="91" spans="5:6">
      <c r="E91" s="217" t="s">
        <v>225</v>
      </c>
      <c r="F91" s="217" t="s">
        <v>226</v>
      </c>
    </row>
    <row r="92" spans="5:6">
      <c r="E92" s="217" t="s">
        <v>228</v>
      </c>
      <c r="F92" s="217" t="s">
        <v>229</v>
      </c>
    </row>
    <row r="93" spans="5:6">
      <c r="E93" s="217" t="s">
        <v>231</v>
      </c>
      <c r="F93" s="217" t="s">
        <v>232</v>
      </c>
    </row>
    <row r="94" spans="5:6">
      <c r="E94" s="217" t="s">
        <v>227</v>
      </c>
      <c r="F94" s="217" t="s">
        <v>230</v>
      </c>
    </row>
    <row r="95" spans="5:6">
      <c r="E95" s="4" t="s">
        <v>235</v>
      </c>
      <c r="F95" s="217" t="s">
        <v>236</v>
      </c>
    </row>
    <row r="96" spans="5:6">
      <c r="E96" s="217" t="s">
        <v>233</v>
      </c>
      <c r="F96" s="217" t="s">
        <v>234</v>
      </c>
    </row>
    <row r="97" spans="5:6">
      <c r="E97" s="4" t="s">
        <v>238</v>
      </c>
      <c r="F97" s="4" t="s">
        <v>237</v>
      </c>
    </row>
    <row r="98" spans="5:6" ht="23">
      <c r="E98" s="217" t="s">
        <v>240</v>
      </c>
      <c r="F98" s="217" t="s">
        <v>239</v>
      </c>
    </row>
    <row r="99" spans="5:6">
      <c r="E99" s="4" t="s">
        <v>247</v>
      </c>
      <c r="F99" s="4" t="s">
        <v>246</v>
      </c>
    </row>
    <row r="100" spans="5:6">
      <c r="E100" s="4" t="s">
        <v>242</v>
      </c>
      <c r="F100" s="217" t="s">
        <v>244</v>
      </c>
    </row>
    <row r="101" spans="5:6">
      <c r="E101" s="4" t="s">
        <v>243</v>
      </c>
      <c r="F101" s="4" t="s">
        <v>245</v>
      </c>
    </row>
    <row r="102" spans="5:6">
      <c r="E102" s="4" t="s">
        <v>248</v>
      </c>
      <c r="F102" s="217" t="s">
        <v>249</v>
      </c>
    </row>
    <row r="103" spans="5:6">
      <c r="E103" s="217" t="s">
        <v>260</v>
      </c>
      <c r="F103" s="217" t="s">
        <v>261</v>
      </c>
    </row>
    <row r="104" spans="5:6">
      <c r="E104" s="4" t="s">
        <v>250</v>
      </c>
      <c r="F104" s="217" t="s">
        <v>250</v>
      </c>
    </row>
    <row r="105" spans="5:6" ht="34.5">
      <c r="E105" s="217" t="s">
        <v>256</v>
      </c>
      <c r="F105" s="217" t="s">
        <v>257</v>
      </c>
    </row>
    <row r="106" spans="5:6">
      <c r="E106" s="4" t="s">
        <v>253</v>
      </c>
      <c r="F106" s="4" t="s">
        <v>252</v>
      </c>
    </row>
    <row r="107" spans="5:6">
      <c r="E107" s="4" t="s">
        <v>254</v>
      </c>
      <c r="F107" s="4" t="s">
        <v>255</v>
      </c>
    </row>
    <row r="108" spans="5:6">
      <c r="E108" s="217" t="s">
        <v>258</v>
      </c>
      <c r="F108" s="217" t="s">
        <v>259</v>
      </c>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Disclaimer</vt:lpstr>
      <vt:lpstr>Cortec</vt:lpstr>
      <vt:lpstr>Configurator</vt:lpstr>
      <vt:lpstr>Master Text</vt:lpstr>
      <vt:lpstr>Accessories</vt:lpstr>
      <vt:lpstr>Database_configurator</vt:lpstr>
      <vt:lpstr>Database_cortec</vt:lpstr>
      <vt:lpstr>Date Drivers</vt:lpstr>
      <vt:lpstr>Language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fcn</dc:creator>
  <cp:lastModifiedBy>Zapella, Marcelo (GE Vernova)</cp:lastModifiedBy>
  <dcterms:created xsi:type="dcterms:W3CDTF">2015-01-23T18:58:08Z</dcterms:created>
  <dcterms:modified xsi:type="dcterms:W3CDTF">2024-04-13T16:19:04Z</dcterms:modified>
</cp:coreProperties>
</file>